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Phase I Docs\LCoE\Heaving Buoy\"/>
    </mc:Choice>
  </mc:AlternateContent>
  <bookViews>
    <workbookView xWindow="0" yWindow="0" windowWidth="28800" windowHeight="12710" tabRatio="858" activeTab="1"/>
  </bookViews>
  <sheets>
    <sheet name="About" sheetId="25" r:id="rId1"/>
    <sheet name="DoE Summary" sheetId="39" r:id="rId2"/>
    <sheet name="DoE CBS" sheetId="34" r:id="rId3"/>
    <sheet name="Report Tables" sheetId="26" r:id="rId4"/>
    <sheet name="Report Graphs" sheetId="33" r:id="rId5"/>
    <sheet name="Performance &amp; Economics" sheetId="31" r:id="rId6"/>
    <sheet name="Perf Comp Table" sheetId="35" r:id="rId7"/>
    <sheet name="Perf MPC Heaving Buoy" sheetId="36" r:id="rId8"/>
    <sheet name="Perf Slow Tuning Heaving Buoy" sheetId="37" r:id="rId9"/>
    <sheet name="Perf Comparison Heaving Buoy" sheetId="38" r:id="rId10"/>
    <sheet name="CBS ($ per kW)" sheetId="22" r:id="rId11"/>
    <sheet name="CBS (CoE)" sheetId="23" r:id="rId12"/>
    <sheet name="CBS (Total)" sheetId="1" r:id="rId13"/>
    <sheet name="1.1" sheetId="2" r:id="rId14"/>
    <sheet name="1.2" sheetId="3" r:id="rId15"/>
    <sheet name="1.3" sheetId="5" r:id="rId16"/>
    <sheet name="1.4" sheetId="4" r:id="rId17"/>
    <sheet name="1.5" sheetId="18" r:id="rId18"/>
    <sheet name="1.6" sheetId="7" r:id="rId19"/>
    <sheet name="1.7" sheetId="8" r:id="rId20"/>
    <sheet name="1.8" sheetId="27" r:id="rId21"/>
    <sheet name="1.9" sheetId="28" r:id="rId22"/>
    <sheet name="2.1" sheetId="11" r:id="rId23"/>
    <sheet name="2.2" sheetId="12" r:id="rId24"/>
    <sheet name="2.3" sheetId="13" r:id="rId25"/>
    <sheet name="2.4" sheetId="14" r:id="rId26"/>
    <sheet name="2.5" sheetId="15" r:id="rId27"/>
    <sheet name="2.6" sheetId="16" r:id="rId28"/>
  </sheets>
  <externalReferences>
    <externalReference r:id="rId29"/>
    <externalReference r:id="rId30"/>
    <externalReference r:id="rId31"/>
    <externalReference r:id="rId32"/>
    <externalReference r:id="rId33"/>
    <externalReference r:id="rId34"/>
    <externalReference r:id="rId35"/>
  </externalReferences>
  <definedNames>
    <definedName name="_xlnm._FilterDatabase" localSheetId="2" hidden="1">'DoE CBS'!#REF!</definedName>
    <definedName name="AnnArrayOMCost" localSheetId="2">#REF!</definedName>
    <definedName name="AnnArrayOMCost">#REF!</definedName>
    <definedName name="AnnArrayOutput" localSheetId="2">#REF!</definedName>
    <definedName name="AnnArrayOutput">#REF!</definedName>
    <definedName name="ArrayInstalledCost" localSheetId="2">#REF!</definedName>
    <definedName name="ArrayInstalledCost">#REF!</definedName>
    <definedName name="Avail" localSheetId="2">[1]Master!$K$6</definedName>
    <definedName name="Avail">[2]Master!$K$6</definedName>
    <definedName name="Availability" localSheetId="2">#REF!</definedName>
    <definedName name="Availability">#REF!</definedName>
    <definedName name="AvgCurrentSpeedSurface" localSheetId="2">#REF!</definedName>
    <definedName name="AvgCurrentSpeedSurface">#REF!</definedName>
    <definedName name="AvgPowerFluxSurface" localSheetId="2">#REF!</definedName>
    <definedName name="AvgPowerFluxSurface">#REF!</definedName>
    <definedName name="AvgProgRatio" localSheetId="2">#REF!</definedName>
    <definedName name="AvgProgRatio">#REF!</definedName>
    <definedName name="CableLen" localSheetId="2">[1]Master!$K$11</definedName>
    <definedName name="CableLen">[2]Master!$K$11</definedName>
    <definedName name="Capex" localSheetId="2">#REF!</definedName>
    <definedName name="Capex">#REF!</definedName>
    <definedName name="CapFactor" localSheetId="2">#REF!</definedName>
    <definedName name="CapFactor">#REF!</definedName>
    <definedName name="Clearance" localSheetId="2">#REF!</definedName>
    <definedName name="Clearance">#REF!</definedName>
    <definedName name="COEReal" localSheetId="2">#REF!</definedName>
    <definedName name="COEReal">#REF!</definedName>
    <definedName name="CRF" localSheetId="2">#REF!</definedName>
    <definedName name="CRF">#REF!</definedName>
    <definedName name="CurrentSenario" localSheetId="2">#REF!</definedName>
    <definedName name="CurrentSenario">#REF!</definedName>
    <definedName name="CutinSpeed" localSheetId="2">[1]Master!$E$12</definedName>
    <definedName name="CutinSpeed">[2]Master!$E$12</definedName>
    <definedName name="DeviceOrientation" localSheetId="2">#REF!</definedName>
    <definedName name="DeviceOrientation">#REF!</definedName>
    <definedName name="DuctClearance" localSheetId="2">#REF!</definedName>
    <definedName name="DuctClearance">#REF!</definedName>
    <definedName name="fg">#REF!</definedName>
    <definedName name="Grid" localSheetId="2">#REF!</definedName>
    <definedName name="Grid">#REF!</definedName>
    <definedName name="hh">#REF!</definedName>
    <definedName name="HubHeight" localSheetId="2">[1]Master!$E$10</definedName>
    <definedName name="HubHeight">[2]Master!$E$10</definedName>
    <definedName name="IRR" localSheetId="2">#REF!</definedName>
    <definedName name="IRR">#REF!</definedName>
    <definedName name="JnctBox" localSheetId="2">[1]Master!$K$13</definedName>
    <definedName name="JnctBox">[2]Master!$K$13</definedName>
    <definedName name="MonoSep" localSheetId="2">[1]Master!$K$4</definedName>
    <definedName name="MonoSep">[2]Master!$K$4</definedName>
    <definedName name="nomdisc" localSheetId="2">#REF!</definedName>
    <definedName name="nomdisc">#REF!</definedName>
    <definedName name="Nominal_CR" localSheetId="2">[1]Master!$T$5</definedName>
    <definedName name="Nominal_CR">[2]Master!$T$5</definedName>
    <definedName name="NumTurbines" localSheetId="2">#REF!</definedName>
    <definedName name="NumTurbines">#REF!</definedName>
    <definedName name="ProgRatio" localSheetId="2">#REF!</definedName>
    <definedName name="ProgRatio">#REF!</definedName>
    <definedName name="RatedSpeed" localSheetId="2">#REF!</definedName>
    <definedName name="RatedSpeed">#REF!</definedName>
    <definedName name="Real_CR" localSheetId="2">[1]Master!$T$4</definedName>
    <definedName name="Real_CR">[2]Master!$T$4</definedName>
    <definedName name="realdisc" localSheetId="2">#REF!</definedName>
    <definedName name="realdisc">#REF!</definedName>
    <definedName name="RefCurrency" localSheetId="2">#REF!</definedName>
    <definedName name="RefCurrency">#REF!</definedName>
    <definedName name="RefYear" localSheetId="2">#REF!</definedName>
    <definedName name="RefYear">#REF!</definedName>
    <definedName name="rho" localSheetId="2">[3]Master!$B$2</definedName>
    <definedName name="rho">[4]Master!$B$2</definedName>
    <definedName name="RotorD" localSheetId="2">#REF!</definedName>
    <definedName name="RotorD">#REF!</definedName>
    <definedName name="RotorEff" localSheetId="2">[1]Master!$E$11</definedName>
    <definedName name="RotorEff">[2]Master!$E$11</definedName>
    <definedName name="S1_ValueName1" localSheetId="2">#REF!</definedName>
    <definedName name="S1_ValueName1">#REF!</definedName>
    <definedName name="Senarios" localSheetId="2">#REF!</definedName>
    <definedName name="Senarios">#REF!</definedName>
    <definedName name="ShoreProtect" localSheetId="2">#REF!</definedName>
    <definedName name="ShoreProtect">#REF!</definedName>
    <definedName name="Site_Selection" localSheetId="2">[5]Inputs!$E$10</definedName>
    <definedName name="Site_Selection">[6]Inputs!$E$10</definedName>
    <definedName name="Site_Spectral_Parameter" localSheetId="2">[5]Inputs!$E$11</definedName>
    <definedName name="Site_Spectral_Parameter">[6]Inputs!$E$11</definedName>
    <definedName name="solver_cvg" localSheetId="5" hidden="1">0.0001</definedName>
    <definedName name="solver_drv" localSheetId="5" hidden="1">1</definedName>
    <definedName name="solver_est" localSheetId="5" hidden="1">1</definedName>
    <definedName name="solver_itr" localSheetId="5" hidden="1">100</definedName>
    <definedName name="solver_lhs1" localSheetId="5" hidden="1">'Performance &amp; Economics'!#REF!</definedName>
    <definedName name="solver_lhs2" localSheetId="5" hidden="1">'Performance &amp; Economics'!#REF!</definedName>
    <definedName name="solver_lin" localSheetId="5" hidden="1">2</definedName>
    <definedName name="solver_neg" localSheetId="5" hidden="1">2</definedName>
    <definedName name="solver_num" localSheetId="5" hidden="1">0</definedName>
    <definedName name="solver_nwt" localSheetId="5" hidden="1">1</definedName>
    <definedName name="solver_pre" localSheetId="5" hidden="1">0.001</definedName>
    <definedName name="solver_rel1" localSheetId="5" hidden="1">1</definedName>
    <definedName name="solver_rel2" localSheetId="5" hidden="1">3</definedName>
    <definedName name="solver_rhs1" localSheetId="5" hidden="1">360</definedName>
    <definedName name="solver_rhs2" localSheetId="5" hidden="1">0</definedName>
    <definedName name="solver_scl" localSheetId="5" hidden="1">2</definedName>
    <definedName name="solver_sho" localSheetId="5" hidden="1">2</definedName>
    <definedName name="solver_tim" localSheetId="5" hidden="1">100</definedName>
    <definedName name="solver_tol" localSheetId="5" hidden="1">0.05</definedName>
    <definedName name="solver_typ" localSheetId="5" hidden="1">1</definedName>
    <definedName name="solver_val" localSheetId="5" hidden="1">0</definedName>
    <definedName name="SVTable1" localSheetId="2">#REF!</definedName>
    <definedName name="SVTable1">#REF!</definedName>
    <definedName name="TranUpgrade" localSheetId="2">#REF!</definedName>
    <definedName name="TranUpgrade">#REF!</definedName>
    <definedName name="TrenchDist" localSheetId="2">[1]Master!$K$9</definedName>
    <definedName name="TrenchDist">[2]Master!$K$9</definedName>
    <definedName name="TurbineCapital" localSheetId="2">#REF!</definedName>
    <definedName name="TurbineCapital">#REF!</definedName>
    <definedName name="VelFactor" localSheetId="2">#REF!</definedName>
    <definedName name="VelFactor">#REF!</definedName>
    <definedName name="WaterDepth" localSheetId="2">#REF!</definedName>
    <definedName name="WaterDepth">#REF!</definedName>
  </definedNames>
  <calcPr calcId="152511" concurrentCalc="0"/>
</workbook>
</file>

<file path=xl/calcChain.xml><?xml version="1.0" encoding="utf-8"?>
<calcChain xmlns="http://schemas.openxmlformats.org/spreadsheetml/2006/main">
  <c r="G7" i="31" l="1"/>
  <c r="S15" i="31"/>
  <c r="P1" i="22"/>
  <c r="P61" i="22"/>
  <c r="P62" i="22"/>
  <c r="P63" i="22"/>
  <c r="P64" i="22"/>
  <c r="D295" i="34"/>
  <c r="D33" i="39"/>
  <c r="D305" i="34"/>
  <c r="D34" i="39"/>
  <c r="D32" i="39"/>
  <c r="D31" i="39"/>
  <c r="S13" i="31"/>
  <c r="S14" i="31"/>
  <c r="S16" i="31"/>
  <c r="H1" i="39"/>
  <c r="F31" i="39"/>
  <c r="P60" i="22"/>
  <c r="D273" i="34"/>
  <c r="D27" i="39"/>
  <c r="E22" i="18"/>
  <c r="H42" i="18"/>
  <c r="G4" i="18"/>
  <c r="J4" i="18"/>
  <c r="P30" i="1"/>
  <c r="H27" i="18"/>
  <c r="H28" i="18"/>
  <c r="H29" i="18"/>
  <c r="H31" i="18"/>
  <c r="H30" i="18"/>
  <c r="H32" i="18"/>
  <c r="H33" i="18"/>
  <c r="H34" i="18"/>
  <c r="H35" i="18"/>
  <c r="H36" i="18"/>
  <c r="H37" i="18"/>
  <c r="H38" i="18"/>
  <c r="H39" i="18"/>
  <c r="H40" i="18"/>
  <c r="H41" i="18"/>
  <c r="H43" i="18"/>
  <c r="H44" i="18"/>
  <c r="H45" i="18"/>
  <c r="H48" i="18"/>
  <c r="G5" i="18"/>
  <c r="J5" i="18"/>
  <c r="P31" i="1"/>
  <c r="G6" i="18"/>
  <c r="J6" i="18"/>
  <c r="P32" i="1"/>
  <c r="G7" i="18"/>
  <c r="J7" i="18"/>
  <c r="P33" i="1"/>
  <c r="G8" i="18"/>
  <c r="J8" i="18"/>
  <c r="P34" i="1"/>
  <c r="G9" i="18"/>
  <c r="J9" i="18"/>
  <c r="P35" i="1"/>
  <c r="G10" i="18"/>
  <c r="J10" i="18"/>
  <c r="P36" i="1"/>
  <c r="G11" i="18"/>
  <c r="J11" i="18"/>
  <c r="P37" i="1"/>
  <c r="G12" i="18"/>
  <c r="J12" i="18"/>
  <c r="P38" i="1"/>
  <c r="G13" i="18"/>
  <c r="J13" i="18"/>
  <c r="P39" i="1"/>
  <c r="G14" i="18"/>
  <c r="J14" i="18"/>
  <c r="P40" i="1"/>
  <c r="G15" i="18"/>
  <c r="J15" i="18"/>
  <c r="P41" i="1"/>
  <c r="G16" i="18"/>
  <c r="J16" i="18"/>
  <c r="P42" i="1"/>
  <c r="P29" i="1"/>
  <c r="P24" i="1"/>
  <c r="H4" i="7"/>
  <c r="H7" i="7"/>
  <c r="P43" i="1"/>
  <c r="G13" i="31"/>
  <c r="D13" i="5"/>
  <c r="D15" i="5"/>
  <c r="D18" i="5"/>
  <c r="H20" i="5"/>
  <c r="H21" i="5"/>
  <c r="H4" i="5"/>
  <c r="P19" i="1"/>
  <c r="H5" i="5"/>
  <c r="P20" i="1"/>
  <c r="H7" i="5"/>
  <c r="P22" i="1"/>
  <c r="P18" i="1"/>
  <c r="P12" i="1"/>
  <c r="P44" i="1"/>
  <c r="H4" i="11"/>
  <c r="P57" i="1"/>
  <c r="P59" i="22"/>
  <c r="D281" i="34"/>
  <c r="D29" i="39"/>
  <c r="D30" i="39"/>
  <c r="D26" i="39"/>
  <c r="F26" i="39"/>
  <c r="F35" i="39"/>
  <c r="P5" i="1"/>
  <c r="I64" i="2"/>
  <c r="I67" i="2"/>
  <c r="H10" i="2"/>
  <c r="P11" i="1"/>
  <c r="P4" i="1"/>
  <c r="P52" i="1"/>
  <c r="P54" i="22"/>
  <c r="D261" i="34"/>
  <c r="D18" i="39"/>
  <c r="D17" i="39"/>
  <c r="F1" i="39"/>
  <c r="F17" i="39"/>
  <c r="P6" i="22"/>
  <c r="P13" i="22"/>
  <c r="D90" i="34"/>
  <c r="D59" i="34"/>
  <c r="D9" i="39"/>
  <c r="D10" i="39"/>
  <c r="P15" i="22"/>
  <c r="P16" i="22"/>
  <c r="P37" i="22"/>
  <c r="D101" i="34"/>
  <c r="D11" i="39"/>
  <c r="P46" i="22"/>
  <c r="D198" i="34"/>
  <c r="D14" i="39"/>
  <c r="P18" i="22"/>
  <c r="D227" i="34"/>
  <c r="D15" i="39"/>
  <c r="P20" i="22"/>
  <c r="D233" i="34"/>
  <c r="D16" i="39"/>
  <c r="D12" i="39"/>
  <c r="D13" i="39"/>
  <c r="D8" i="39"/>
  <c r="F8" i="39"/>
  <c r="P26" i="22"/>
  <c r="D10" i="34"/>
  <c r="D6" i="39"/>
  <c r="P31" i="22"/>
  <c r="P45" i="22"/>
  <c r="D25" i="34"/>
  <c r="D7" i="39"/>
  <c r="D5" i="39"/>
  <c r="F5" i="39"/>
  <c r="F22" i="39"/>
  <c r="F36" i="39"/>
  <c r="F27" i="39"/>
  <c r="F28" i="39"/>
  <c r="F29" i="39"/>
  <c r="F30" i="39"/>
  <c r="F32" i="39"/>
  <c r="F33" i="39"/>
  <c r="F34" i="39"/>
  <c r="F6" i="39"/>
  <c r="F7" i="39"/>
  <c r="F9" i="39"/>
  <c r="F10" i="39"/>
  <c r="F11" i="39"/>
  <c r="F12" i="39"/>
  <c r="F13" i="39"/>
  <c r="F14" i="39"/>
  <c r="F15" i="39"/>
  <c r="F16" i="39"/>
  <c r="F18" i="39"/>
  <c r="F19" i="39"/>
  <c r="F20" i="39"/>
  <c r="F21" i="39"/>
  <c r="D35" i="39"/>
  <c r="E35" i="39"/>
  <c r="E27" i="39"/>
  <c r="E28" i="39"/>
  <c r="E29" i="39"/>
  <c r="E30" i="39"/>
  <c r="E31" i="39"/>
  <c r="E32" i="39"/>
  <c r="E33" i="39"/>
  <c r="E34" i="39"/>
  <c r="E26" i="39"/>
  <c r="D22" i="39"/>
  <c r="E6" i="39"/>
  <c r="E7" i="39"/>
  <c r="E8" i="39"/>
  <c r="E9" i="39"/>
  <c r="E10" i="39"/>
  <c r="E11" i="39"/>
  <c r="E12" i="39"/>
  <c r="E13" i="39"/>
  <c r="E14" i="39"/>
  <c r="E15" i="39"/>
  <c r="E16" i="39"/>
  <c r="E17" i="39"/>
  <c r="E18" i="39"/>
  <c r="E19" i="39"/>
  <c r="E20" i="39"/>
  <c r="E21" i="39"/>
  <c r="E5" i="39"/>
  <c r="H4" i="18"/>
  <c r="H5" i="18"/>
  <c r="H6" i="18"/>
  <c r="H7" i="18"/>
  <c r="H8" i="18"/>
  <c r="H9" i="18"/>
  <c r="H10" i="18"/>
  <c r="H11" i="18"/>
  <c r="H12" i="18"/>
  <c r="H13" i="18"/>
  <c r="H14" i="18"/>
  <c r="H15" i="18"/>
  <c r="H16" i="18"/>
  <c r="H18" i="18"/>
  <c r="H19" i="18"/>
  <c r="H20" i="18"/>
  <c r="I4" i="18"/>
  <c r="I5" i="18"/>
  <c r="I6" i="18"/>
  <c r="I7" i="18"/>
  <c r="I8" i="18"/>
  <c r="I9" i="18"/>
  <c r="I10" i="18"/>
  <c r="I11" i="18"/>
  <c r="I12" i="18"/>
  <c r="I13" i="18"/>
  <c r="I14" i="18"/>
  <c r="I15" i="18"/>
  <c r="I16" i="18"/>
  <c r="I18" i="18"/>
  <c r="I19" i="18"/>
  <c r="I20" i="18"/>
  <c r="J18" i="18"/>
  <c r="J19" i="18"/>
  <c r="J20" i="18"/>
  <c r="G18" i="18"/>
  <c r="G19" i="18"/>
  <c r="G20" i="18"/>
  <c r="H72" i="18"/>
  <c r="H74" i="18"/>
  <c r="H46" i="18"/>
  <c r="H75" i="18"/>
  <c r="H47" i="18"/>
  <c r="G75" i="18"/>
  <c r="F9" i="18"/>
  <c r="K56" i="18"/>
  <c r="K57" i="18"/>
  <c r="K58" i="18"/>
  <c r="K59" i="18"/>
  <c r="K60" i="18"/>
  <c r="K61" i="18"/>
  <c r="K62" i="18"/>
  <c r="K63" i="18"/>
  <c r="K64" i="18"/>
  <c r="K65" i="18"/>
  <c r="K66" i="18"/>
  <c r="K67" i="18"/>
  <c r="K68" i="18"/>
  <c r="K69" i="18"/>
  <c r="K70" i="18"/>
  <c r="K71" i="18"/>
  <c r="K72" i="18"/>
  <c r="K73" i="18"/>
  <c r="K74" i="18"/>
  <c r="K75" i="18"/>
  <c r="K76" i="18"/>
  <c r="K55" i="18"/>
  <c r="K28" i="18"/>
  <c r="K29" i="18"/>
  <c r="K30" i="18"/>
  <c r="K31" i="18"/>
  <c r="K32" i="18"/>
  <c r="K33" i="18"/>
  <c r="K34" i="18"/>
  <c r="K35" i="18"/>
  <c r="K36" i="18"/>
  <c r="K37" i="18"/>
  <c r="K38" i="18"/>
  <c r="K39" i="18"/>
  <c r="K40" i="18"/>
  <c r="K41" i="18"/>
  <c r="K42" i="18"/>
  <c r="K43" i="18"/>
  <c r="K44" i="18"/>
  <c r="K45" i="18"/>
  <c r="K46" i="18"/>
  <c r="K47" i="18"/>
  <c r="K48" i="18"/>
  <c r="K27" i="18"/>
  <c r="S17" i="31"/>
  <c r="J2" i="23"/>
  <c r="P2" i="23"/>
  <c r="H56" i="18"/>
  <c r="H57" i="18"/>
  <c r="H58" i="18"/>
  <c r="H59" i="18"/>
  <c r="H60" i="18"/>
  <c r="H61" i="18"/>
  <c r="H62" i="18"/>
  <c r="H63" i="18"/>
  <c r="H64" i="18"/>
  <c r="H65" i="18"/>
  <c r="H66" i="18"/>
  <c r="H67" i="18"/>
  <c r="H68" i="18"/>
  <c r="H69" i="18"/>
  <c r="H70" i="18"/>
  <c r="H71" i="18"/>
  <c r="H73" i="18"/>
  <c r="H76" i="18"/>
  <c r="H55" i="18"/>
  <c r="F5" i="18"/>
  <c r="F7" i="4"/>
  <c r="G7" i="4"/>
  <c r="H7" i="4"/>
  <c r="E7" i="4"/>
  <c r="F4" i="4"/>
  <c r="G4" i="4"/>
  <c r="H4" i="4"/>
  <c r="E4" i="4"/>
  <c r="G31" i="4"/>
  <c r="H31" i="4"/>
  <c r="I31" i="4"/>
  <c r="F31" i="4"/>
  <c r="E36" i="4"/>
  <c r="G25" i="4"/>
  <c r="H25" i="4"/>
  <c r="I25" i="4"/>
  <c r="F25" i="4"/>
  <c r="E26" i="4"/>
  <c r="E24" i="4"/>
  <c r="F20" i="5"/>
  <c r="F21" i="5"/>
  <c r="F4" i="5"/>
  <c r="F7" i="5"/>
  <c r="G20" i="5"/>
  <c r="G21" i="5"/>
  <c r="G4" i="5"/>
  <c r="G7" i="5"/>
  <c r="E20" i="5"/>
  <c r="E21" i="5"/>
  <c r="E4" i="5"/>
  <c r="E7" i="5"/>
  <c r="F5" i="5"/>
  <c r="G5" i="5"/>
  <c r="E5" i="5"/>
  <c r="F19" i="5"/>
  <c r="F23" i="5"/>
  <c r="G19" i="5"/>
  <c r="G23" i="5"/>
  <c r="H19" i="5"/>
  <c r="H23" i="5"/>
  <c r="E23" i="5"/>
  <c r="F15" i="5"/>
  <c r="E16" i="35"/>
  <c r="E15" i="35"/>
  <c r="C16" i="35"/>
  <c r="C15" i="35"/>
  <c r="C11" i="35"/>
  <c r="G144" i="31"/>
  <c r="O50" i="36"/>
  <c r="X81" i="38"/>
  <c r="W81" i="38"/>
  <c r="V81" i="38"/>
  <c r="U81" i="38"/>
  <c r="T81" i="38"/>
  <c r="S81" i="38"/>
  <c r="R81" i="38"/>
  <c r="Q81" i="38"/>
  <c r="P81" i="38"/>
  <c r="O81" i="38"/>
  <c r="N81" i="38"/>
  <c r="M81" i="38"/>
  <c r="L81" i="38"/>
  <c r="K81" i="38"/>
  <c r="J81" i="38"/>
  <c r="I81" i="38"/>
  <c r="H81" i="38"/>
  <c r="G81" i="38"/>
  <c r="F81" i="38"/>
  <c r="E81" i="38"/>
  <c r="D81" i="38"/>
  <c r="X80" i="38"/>
  <c r="W80" i="38"/>
  <c r="V80" i="38"/>
  <c r="U80" i="38"/>
  <c r="T80" i="38"/>
  <c r="S80" i="38"/>
  <c r="R80" i="38"/>
  <c r="Q80" i="38"/>
  <c r="P80" i="38"/>
  <c r="O80" i="38"/>
  <c r="N80" i="38"/>
  <c r="M80" i="38"/>
  <c r="L80" i="38"/>
  <c r="K80" i="38"/>
  <c r="J80" i="38"/>
  <c r="I80" i="38"/>
  <c r="H80" i="38"/>
  <c r="G80" i="38"/>
  <c r="F80" i="38"/>
  <c r="E80" i="38"/>
  <c r="D80" i="38"/>
  <c r="X79" i="38"/>
  <c r="W79" i="38"/>
  <c r="V79" i="38"/>
  <c r="U79" i="38"/>
  <c r="T79" i="38"/>
  <c r="S79" i="38"/>
  <c r="R79" i="38"/>
  <c r="Q79" i="38"/>
  <c r="P79" i="38"/>
  <c r="O79" i="38"/>
  <c r="N79" i="38"/>
  <c r="M79" i="38"/>
  <c r="L79" i="38"/>
  <c r="K79" i="38"/>
  <c r="J79" i="38"/>
  <c r="I79" i="38"/>
  <c r="H79" i="38"/>
  <c r="G79" i="38"/>
  <c r="F79" i="38"/>
  <c r="E79" i="38"/>
  <c r="D79" i="38"/>
  <c r="X78" i="38"/>
  <c r="W78" i="38"/>
  <c r="V78" i="38"/>
  <c r="U78" i="38"/>
  <c r="T78" i="38"/>
  <c r="S78" i="38"/>
  <c r="R78" i="38"/>
  <c r="Q78" i="38"/>
  <c r="P78" i="38"/>
  <c r="O78" i="38"/>
  <c r="N78" i="38"/>
  <c r="M78" i="38"/>
  <c r="L78" i="38"/>
  <c r="K78" i="38"/>
  <c r="J78" i="38"/>
  <c r="I78" i="38"/>
  <c r="H78" i="38"/>
  <c r="G78" i="38"/>
  <c r="F78" i="38"/>
  <c r="E78" i="38"/>
  <c r="D78" i="38"/>
  <c r="X77" i="38"/>
  <c r="W77" i="38"/>
  <c r="V77" i="38"/>
  <c r="U77" i="38"/>
  <c r="T77" i="38"/>
  <c r="S77" i="38"/>
  <c r="R77" i="38"/>
  <c r="Q77" i="38"/>
  <c r="P77" i="38"/>
  <c r="O77" i="38"/>
  <c r="N77" i="38"/>
  <c r="M77" i="38"/>
  <c r="L77" i="38"/>
  <c r="K77" i="38"/>
  <c r="J77" i="38"/>
  <c r="I77" i="38"/>
  <c r="H77" i="38"/>
  <c r="G77" i="38"/>
  <c r="F77" i="38"/>
  <c r="E77" i="38"/>
  <c r="D77" i="38"/>
  <c r="X76" i="38"/>
  <c r="W76" i="38"/>
  <c r="V76" i="38"/>
  <c r="U76" i="38"/>
  <c r="T76" i="38"/>
  <c r="S76" i="38"/>
  <c r="R76" i="38"/>
  <c r="Q76" i="38"/>
  <c r="P76" i="38"/>
  <c r="O76" i="38"/>
  <c r="N76" i="38"/>
  <c r="M76" i="38"/>
  <c r="L76" i="38"/>
  <c r="K76" i="38"/>
  <c r="J76" i="38"/>
  <c r="I76" i="38"/>
  <c r="H76" i="38"/>
  <c r="G76" i="38"/>
  <c r="F76" i="38"/>
  <c r="E76" i="38"/>
  <c r="D76" i="38"/>
  <c r="X75" i="38"/>
  <c r="W75" i="38"/>
  <c r="V75" i="38"/>
  <c r="U75" i="38"/>
  <c r="T75" i="38"/>
  <c r="S75" i="38"/>
  <c r="R75" i="38"/>
  <c r="Q75" i="38"/>
  <c r="P75" i="38"/>
  <c r="O75" i="38"/>
  <c r="N75" i="38"/>
  <c r="M75" i="38"/>
  <c r="L75" i="38"/>
  <c r="K75" i="38"/>
  <c r="J75" i="38"/>
  <c r="I75" i="38"/>
  <c r="H75" i="38"/>
  <c r="G75" i="38"/>
  <c r="F75" i="38"/>
  <c r="E75" i="38"/>
  <c r="D75" i="38"/>
  <c r="X74" i="38"/>
  <c r="W74" i="38"/>
  <c r="V74" i="38"/>
  <c r="U74" i="38"/>
  <c r="T74" i="38"/>
  <c r="S74" i="38"/>
  <c r="R74" i="38"/>
  <c r="Q74" i="38"/>
  <c r="P74" i="38"/>
  <c r="O74" i="38"/>
  <c r="N74" i="38"/>
  <c r="M74" i="38"/>
  <c r="L74" i="38"/>
  <c r="K74" i="38"/>
  <c r="J74" i="38"/>
  <c r="I74" i="38"/>
  <c r="H74" i="38"/>
  <c r="G74" i="38"/>
  <c r="F74" i="38"/>
  <c r="E74" i="38"/>
  <c r="D74" i="38"/>
  <c r="X73" i="38"/>
  <c r="W73" i="38"/>
  <c r="V73" i="38"/>
  <c r="U73" i="38"/>
  <c r="T73" i="38"/>
  <c r="S73" i="38"/>
  <c r="R73" i="38"/>
  <c r="Q73" i="38"/>
  <c r="P73" i="38"/>
  <c r="O73" i="38"/>
  <c r="N73" i="38"/>
  <c r="M73" i="38"/>
  <c r="L73" i="38"/>
  <c r="K73" i="38"/>
  <c r="J73" i="38"/>
  <c r="I73" i="38"/>
  <c r="H73" i="38"/>
  <c r="G73" i="38"/>
  <c r="F73" i="38"/>
  <c r="E73" i="38"/>
  <c r="D73" i="38"/>
  <c r="X72" i="38"/>
  <c r="W72" i="38"/>
  <c r="V72" i="38"/>
  <c r="U72" i="38"/>
  <c r="T72" i="38"/>
  <c r="S72" i="38"/>
  <c r="R72" i="38"/>
  <c r="Q72" i="38"/>
  <c r="P72" i="38"/>
  <c r="O72" i="38"/>
  <c r="N72" i="38"/>
  <c r="M72" i="38"/>
  <c r="L72" i="38"/>
  <c r="K72" i="38"/>
  <c r="J72" i="38"/>
  <c r="I72" i="38"/>
  <c r="H72" i="38"/>
  <c r="G72" i="38"/>
  <c r="F72" i="38"/>
  <c r="E72" i="38"/>
  <c r="D72" i="38"/>
  <c r="X71" i="38"/>
  <c r="W71" i="38"/>
  <c r="V71" i="38"/>
  <c r="U71" i="38"/>
  <c r="T71" i="38"/>
  <c r="S71" i="38"/>
  <c r="R71" i="38"/>
  <c r="Q71" i="38"/>
  <c r="P71" i="38"/>
  <c r="O71" i="38"/>
  <c r="N71" i="38"/>
  <c r="M71" i="38"/>
  <c r="L71" i="38"/>
  <c r="K71" i="38"/>
  <c r="J71" i="38"/>
  <c r="I71" i="38"/>
  <c r="H71" i="38"/>
  <c r="G71" i="38"/>
  <c r="F71" i="38"/>
  <c r="E71" i="38"/>
  <c r="D71" i="38"/>
  <c r="X70" i="38"/>
  <c r="W70" i="38"/>
  <c r="V70" i="38"/>
  <c r="U70" i="38"/>
  <c r="T70" i="38"/>
  <c r="S70" i="38"/>
  <c r="R70" i="38"/>
  <c r="Q70" i="38"/>
  <c r="P70" i="38"/>
  <c r="O70" i="38"/>
  <c r="N70" i="38"/>
  <c r="M70" i="38"/>
  <c r="L70" i="38"/>
  <c r="K70" i="38"/>
  <c r="J70" i="38"/>
  <c r="I70" i="38"/>
  <c r="H70" i="38"/>
  <c r="G70" i="38"/>
  <c r="F70" i="38"/>
  <c r="E70" i="38"/>
  <c r="D70" i="38"/>
  <c r="X69" i="38"/>
  <c r="W69" i="38"/>
  <c r="V69" i="38"/>
  <c r="U69" i="38"/>
  <c r="T69" i="38"/>
  <c r="S69" i="38"/>
  <c r="R69" i="38"/>
  <c r="Q69" i="38"/>
  <c r="P69" i="38"/>
  <c r="O69" i="38"/>
  <c r="N69" i="38"/>
  <c r="M69" i="38"/>
  <c r="L69" i="38"/>
  <c r="K69" i="38"/>
  <c r="J69" i="38"/>
  <c r="I69" i="38"/>
  <c r="H69" i="38"/>
  <c r="G69" i="38"/>
  <c r="F69" i="38"/>
  <c r="E69" i="38"/>
  <c r="D69" i="38"/>
  <c r="X68" i="38"/>
  <c r="W68" i="38"/>
  <c r="V68" i="38"/>
  <c r="U68" i="38"/>
  <c r="T68" i="38"/>
  <c r="S68" i="38"/>
  <c r="R68" i="38"/>
  <c r="Q68" i="38"/>
  <c r="P68" i="38"/>
  <c r="O68" i="38"/>
  <c r="N68" i="38"/>
  <c r="M68" i="38"/>
  <c r="L68" i="38"/>
  <c r="K68" i="38"/>
  <c r="J68" i="38"/>
  <c r="I68" i="38"/>
  <c r="H68" i="38"/>
  <c r="G68" i="38"/>
  <c r="F68" i="38"/>
  <c r="E68" i="38"/>
  <c r="D68" i="38"/>
  <c r="X67" i="38"/>
  <c r="W67" i="38"/>
  <c r="V67" i="38"/>
  <c r="U67" i="38"/>
  <c r="T67" i="38"/>
  <c r="S67" i="38"/>
  <c r="R67" i="38"/>
  <c r="Q67" i="38"/>
  <c r="P67" i="38"/>
  <c r="O67" i="38"/>
  <c r="N67" i="38"/>
  <c r="M67" i="38"/>
  <c r="L67" i="38"/>
  <c r="K67" i="38"/>
  <c r="J67" i="38"/>
  <c r="I67" i="38"/>
  <c r="H67" i="38"/>
  <c r="G67" i="38"/>
  <c r="F67" i="38"/>
  <c r="E67" i="38"/>
  <c r="D67" i="38"/>
  <c r="X66" i="38"/>
  <c r="W66" i="38"/>
  <c r="V66" i="38"/>
  <c r="U66" i="38"/>
  <c r="T66" i="38"/>
  <c r="S66" i="38"/>
  <c r="R66" i="38"/>
  <c r="Q66" i="38"/>
  <c r="P66" i="38"/>
  <c r="O66" i="38"/>
  <c r="N66" i="38"/>
  <c r="M66" i="38"/>
  <c r="L66" i="38"/>
  <c r="K66" i="38"/>
  <c r="J66" i="38"/>
  <c r="I66" i="38"/>
  <c r="H66" i="38"/>
  <c r="G66" i="38"/>
  <c r="F66" i="38"/>
  <c r="E66" i="38"/>
  <c r="D66" i="38"/>
  <c r="X65" i="38"/>
  <c r="W65" i="38"/>
  <c r="V65" i="38"/>
  <c r="U65" i="38"/>
  <c r="T65" i="38"/>
  <c r="S65" i="38"/>
  <c r="R65" i="38"/>
  <c r="Q65" i="38"/>
  <c r="P65" i="38"/>
  <c r="O65" i="38"/>
  <c r="N65" i="38"/>
  <c r="M65" i="38"/>
  <c r="L65" i="38"/>
  <c r="K65" i="38"/>
  <c r="J65" i="38"/>
  <c r="I65" i="38"/>
  <c r="H65" i="38"/>
  <c r="G65" i="38"/>
  <c r="F65" i="38"/>
  <c r="E65" i="38"/>
  <c r="D65" i="38"/>
  <c r="X64" i="38"/>
  <c r="W64" i="38"/>
  <c r="V64" i="38"/>
  <c r="U64" i="38"/>
  <c r="T64" i="38"/>
  <c r="S64" i="38"/>
  <c r="R64" i="38"/>
  <c r="Q64" i="38"/>
  <c r="P64" i="38"/>
  <c r="O64" i="38"/>
  <c r="N64" i="38"/>
  <c r="M64" i="38"/>
  <c r="L64" i="38"/>
  <c r="K64" i="38"/>
  <c r="J64" i="38"/>
  <c r="I64" i="38"/>
  <c r="H64" i="38"/>
  <c r="G64" i="38"/>
  <c r="F64" i="38"/>
  <c r="E64" i="38"/>
  <c r="D64" i="38"/>
  <c r="X63" i="38"/>
  <c r="W63" i="38"/>
  <c r="V63" i="38"/>
  <c r="U63" i="38"/>
  <c r="T63" i="38"/>
  <c r="S63" i="38"/>
  <c r="R63" i="38"/>
  <c r="Q63" i="38"/>
  <c r="P63" i="38"/>
  <c r="O63" i="38"/>
  <c r="N63" i="38"/>
  <c r="M63" i="38"/>
  <c r="L63" i="38"/>
  <c r="K63" i="38"/>
  <c r="J63" i="38"/>
  <c r="I63" i="38"/>
  <c r="H63" i="38"/>
  <c r="G63" i="38"/>
  <c r="F63" i="38"/>
  <c r="E63" i="38"/>
  <c r="D63" i="38"/>
  <c r="X62" i="38"/>
  <c r="W62" i="38"/>
  <c r="V62" i="38"/>
  <c r="U62" i="38"/>
  <c r="T62" i="38"/>
  <c r="S62" i="38"/>
  <c r="R62" i="38"/>
  <c r="Q62" i="38"/>
  <c r="P62" i="38"/>
  <c r="O62" i="38"/>
  <c r="N62" i="38"/>
  <c r="M62" i="38"/>
  <c r="L62" i="38"/>
  <c r="K62" i="38"/>
  <c r="J62" i="38"/>
  <c r="I62" i="38"/>
  <c r="H62" i="38"/>
  <c r="G62" i="38"/>
  <c r="F62" i="38"/>
  <c r="E62" i="38"/>
  <c r="D62" i="38"/>
  <c r="C38" i="37"/>
  <c r="C94" i="37"/>
  <c r="D38" i="37"/>
  <c r="D94" i="37"/>
  <c r="E38" i="37"/>
  <c r="E94" i="37"/>
  <c r="F38" i="37"/>
  <c r="F94" i="37"/>
  <c r="G38" i="37"/>
  <c r="G94" i="37"/>
  <c r="H38" i="37"/>
  <c r="H94" i="37"/>
  <c r="I38" i="37"/>
  <c r="I94" i="37"/>
  <c r="J38" i="37"/>
  <c r="J94" i="37"/>
  <c r="K38" i="37"/>
  <c r="K94" i="37"/>
  <c r="L38" i="37"/>
  <c r="L94" i="37"/>
  <c r="M38" i="37"/>
  <c r="M94" i="37"/>
  <c r="N38" i="37"/>
  <c r="N94" i="37"/>
  <c r="O38" i="37"/>
  <c r="O94" i="37"/>
  <c r="P38" i="37"/>
  <c r="P94" i="37"/>
  <c r="Q38" i="37"/>
  <c r="Q94" i="37"/>
  <c r="R38" i="37"/>
  <c r="R94" i="37"/>
  <c r="S38" i="37"/>
  <c r="S94" i="37"/>
  <c r="T38" i="37"/>
  <c r="T94" i="37"/>
  <c r="U38" i="37"/>
  <c r="U94" i="37"/>
  <c r="V38" i="37"/>
  <c r="V94" i="37"/>
  <c r="W38" i="37"/>
  <c r="W94" i="37"/>
  <c r="C39" i="37"/>
  <c r="C95" i="37"/>
  <c r="D39" i="37"/>
  <c r="D95" i="37"/>
  <c r="E39" i="37"/>
  <c r="E95" i="37"/>
  <c r="F39" i="37"/>
  <c r="F95" i="37"/>
  <c r="G39" i="37"/>
  <c r="G95" i="37"/>
  <c r="H39" i="37"/>
  <c r="H95" i="37"/>
  <c r="I39" i="37"/>
  <c r="I95" i="37"/>
  <c r="J39" i="37"/>
  <c r="J95" i="37"/>
  <c r="K39" i="37"/>
  <c r="K95" i="37"/>
  <c r="L39" i="37"/>
  <c r="L95" i="37"/>
  <c r="M39" i="37"/>
  <c r="M95" i="37"/>
  <c r="N39" i="37"/>
  <c r="N95" i="37"/>
  <c r="O39" i="37"/>
  <c r="O95" i="37"/>
  <c r="P39" i="37"/>
  <c r="P95" i="37"/>
  <c r="Q39" i="37"/>
  <c r="Q95" i="37"/>
  <c r="R39" i="37"/>
  <c r="R95" i="37"/>
  <c r="S39" i="37"/>
  <c r="S95" i="37"/>
  <c r="T39" i="37"/>
  <c r="T95" i="37"/>
  <c r="U39" i="37"/>
  <c r="U95" i="37"/>
  <c r="V39" i="37"/>
  <c r="V95" i="37"/>
  <c r="W39" i="37"/>
  <c r="W95" i="37"/>
  <c r="C40" i="37"/>
  <c r="C96" i="37"/>
  <c r="D40" i="37"/>
  <c r="D96" i="37"/>
  <c r="E40" i="37"/>
  <c r="E96" i="37"/>
  <c r="F40" i="37"/>
  <c r="F96" i="37"/>
  <c r="G40" i="37"/>
  <c r="G96" i="37"/>
  <c r="H40" i="37"/>
  <c r="H96" i="37"/>
  <c r="I40" i="37"/>
  <c r="I96" i="37"/>
  <c r="J40" i="37"/>
  <c r="J96" i="37"/>
  <c r="K40" i="37"/>
  <c r="K96" i="37"/>
  <c r="L40" i="37"/>
  <c r="L96" i="37"/>
  <c r="M40" i="37"/>
  <c r="M96" i="37"/>
  <c r="N40" i="37"/>
  <c r="N96" i="37"/>
  <c r="O40" i="37"/>
  <c r="O96" i="37"/>
  <c r="P40" i="37"/>
  <c r="P96" i="37"/>
  <c r="Q40" i="37"/>
  <c r="Q96" i="37"/>
  <c r="R40" i="37"/>
  <c r="R96" i="37"/>
  <c r="S40" i="37"/>
  <c r="S96" i="37"/>
  <c r="T40" i="37"/>
  <c r="T96" i="37"/>
  <c r="U40" i="37"/>
  <c r="U96" i="37"/>
  <c r="V40" i="37"/>
  <c r="V96" i="37"/>
  <c r="W40" i="37"/>
  <c r="W96" i="37"/>
  <c r="C41" i="37"/>
  <c r="C97" i="37"/>
  <c r="D41" i="37"/>
  <c r="D97" i="37"/>
  <c r="E41" i="37"/>
  <c r="E97" i="37"/>
  <c r="F41" i="37"/>
  <c r="F97" i="37"/>
  <c r="G41" i="37"/>
  <c r="G97" i="37"/>
  <c r="H41" i="37"/>
  <c r="H97" i="37"/>
  <c r="I41" i="37"/>
  <c r="I97" i="37"/>
  <c r="J41" i="37"/>
  <c r="J97" i="37"/>
  <c r="K41" i="37"/>
  <c r="K97" i="37"/>
  <c r="L41" i="37"/>
  <c r="L97" i="37"/>
  <c r="M41" i="37"/>
  <c r="M97" i="37"/>
  <c r="N41" i="37"/>
  <c r="N97" i="37"/>
  <c r="O41" i="37"/>
  <c r="O97" i="37"/>
  <c r="P41" i="37"/>
  <c r="P97" i="37"/>
  <c r="Q41" i="37"/>
  <c r="Q97" i="37"/>
  <c r="R41" i="37"/>
  <c r="R97" i="37"/>
  <c r="S41" i="37"/>
  <c r="S97" i="37"/>
  <c r="T41" i="37"/>
  <c r="T97" i="37"/>
  <c r="U41" i="37"/>
  <c r="U97" i="37"/>
  <c r="V41" i="37"/>
  <c r="V97" i="37"/>
  <c r="W41" i="37"/>
  <c r="W97" i="37"/>
  <c r="C42" i="37"/>
  <c r="C98" i="37"/>
  <c r="D42" i="37"/>
  <c r="D98" i="37"/>
  <c r="E42" i="37"/>
  <c r="E98" i="37"/>
  <c r="F42" i="37"/>
  <c r="F98" i="37"/>
  <c r="G42" i="37"/>
  <c r="G98" i="37"/>
  <c r="H42" i="37"/>
  <c r="H98" i="37"/>
  <c r="I42" i="37"/>
  <c r="I98" i="37"/>
  <c r="J42" i="37"/>
  <c r="J98" i="37"/>
  <c r="K42" i="37"/>
  <c r="K98" i="37"/>
  <c r="L42" i="37"/>
  <c r="L98" i="37"/>
  <c r="M42" i="37"/>
  <c r="M98" i="37"/>
  <c r="N42" i="37"/>
  <c r="N98" i="37"/>
  <c r="O42" i="37"/>
  <c r="O98" i="37"/>
  <c r="P42" i="37"/>
  <c r="P98" i="37"/>
  <c r="Q42" i="37"/>
  <c r="Q98" i="37"/>
  <c r="R42" i="37"/>
  <c r="R98" i="37"/>
  <c r="S42" i="37"/>
  <c r="S98" i="37"/>
  <c r="T42" i="37"/>
  <c r="T98" i="37"/>
  <c r="U42" i="37"/>
  <c r="U98" i="37"/>
  <c r="V42" i="37"/>
  <c r="V98" i="37"/>
  <c r="W42" i="37"/>
  <c r="W98" i="37"/>
  <c r="C43" i="37"/>
  <c r="C99" i="37"/>
  <c r="D43" i="37"/>
  <c r="D99" i="37"/>
  <c r="E43" i="37"/>
  <c r="E99" i="37"/>
  <c r="F43" i="37"/>
  <c r="F99" i="37"/>
  <c r="G43" i="37"/>
  <c r="G99" i="37"/>
  <c r="H43" i="37"/>
  <c r="H99" i="37"/>
  <c r="I43" i="37"/>
  <c r="I99" i="37"/>
  <c r="J43" i="37"/>
  <c r="J99" i="37"/>
  <c r="K43" i="37"/>
  <c r="K99" i="37"/>
  <c r="L43" i="37"/>
  <c r="L99" i="37"/>
  <c r="M43" i="37"/>
  <c r="M99" i="37"/>
  <c r="N43" i="37"/>
  <c r="N99" i="37"/>
  <c r="O43" i="37"/>
  <c r="O99" i="37"/>
  <c r="P43" i="37"/>
  <c r="P99" i="37"/>
  <c r="Q43" i="37"/>
  <c r="Q99" i="37"/>
  <c r="R43" i="37"/>
  <c r="R99" i="37"/>
  <c r="S43" i="37"/>
  <c r="S99" i="37"/>
  <c r="T43" i="37"/>
  <c r="T99" i="37"/>
  <c r="U43" i="37"/>
  <c r="U99" i="37"/>
  <c r="V43" i="37"/>
  <c r="V99" i="37"/>
  <c r="W43" i="37"/>
  <c r="W99" i="37"/>
  <c r="C44" i="37"/>
  <c r="C100" i="37"/>
  <c r="D44" i="37"/>
  <c r="D100" i="37"/>
  <c r="E44" i="37"/>
  <c r="E100" i="37"/>
  <c r="F44" i="37"/>
  <c r="F100" i="37"/>
  <c r="G44" i="37"/>
  <c r="G100" i="37"/>
  <c r="H44" i="37"/>
  <c r="H100" i="37"/>
  <c r="I44" i="37"/>
  <c r="I100" i="37"/>
  <c r="J44" i="37"/>
  <c r="J100" i="37"/>
  <c r="K44" i="37"/>
  <c r="K100" i="37"/>
  <c r="L44" i="37"/>
  <c r="L100" i="37"/>
  <c r="M44" i="37"/>
  <c r="M100" i="37"/>
  <c r="N44" i="37"/>
  <c r="N100" i="37"/>
  <c r="O44" i="37"/>
  <c r="O100" i="37"/>
  <c r="P44" i="37"/>
  <c r="P100" i="37"/>
  <c r="Q44" i="37"/>
  <c r="Q100" i="37"/>
  <c r="R44" i="37"/>
  <c r="R100" i="37"/>
  <c r="S44" i="37"/>
  <c r="S100" i="37"/>
  <c r="T44" i="37"/>
  <c r="T100" i="37"/>
  <c r="U44" i="37"/>
  <c r="U100" i="37"/>
  <c r="V44" i="37"/>
  <c r="V100" i="37"/>
  <c r="W44" i="37"/>
  <c r="W100" i="37"/>
  <c r="C45" i="37"/>
  <c r="C101" i="37"/>
  <c r="D45" i="37"/>
  <c r="D101" i="37"/>
  <c r="E45" i="37"/>
  <c r="E101" i="37"/>
  <c r="F45" i="37"/>
  <c r="F101" i="37"/>
  <c r="G45" i="37"/>
  <c r="G101" i="37"/>
  <c r="H45" i="37"/>
  <c r="H101" i="37"/>
  <c r="I45" i="37"/>
  <c r="I101" i="37"/>
  <c r="J45" i="37"/>
  <c r="J101" i="37"/>
  <c r="K45" i="37"/>
  <c r="K101" i="37"/>
  <c r="L45" i="37"/>
  <c r="L101" i="37"/>
  <c r="M45" i="37"/>
  <c r="M101" i="37"/>
  <c r="N45" i="37"/>
  <c r="N101" i="37"/>
  <c r="O45" i="37"/>
  <c r="O101" i="37"/>
  <c r="P45" i="37"/>
  <c r="P101" i="37"/>
  <c r="Q45" i="37"/>
  <c r="Q101" i="37"/>
  <c r="R45" i="37"/>
  <c r="R101" i="37"/>
  <c r="S45" i="37"/>
  <c r="S101" i="37"/>
  <c r="T45" i="37"/>
  <c r="T101" i="37"/>
  <c r="U45" i="37"/>
  <c r="U101" i="37"/>
  <c r="V45" i="37"/>
  <c r="V101" i="37"/>
  <c r="W45" i="37"/>
  <c r="W101" i="37"/>
  <c r="C46" i="37"/>
  <c r="C102" i="37"/>
  <c r="D46" i="37"/>
  <c r="D102" i="37"/>
  <c r="E46" i="37"/>
  <c r="E102" i="37"/>
  <c r="F46" i="37"/>
  <c r="F102" i="37"/>
  <c r="G46" i="37"/>
  <c r="G102" i="37"/>
  <c r="H46" i="37"/>
  <c r="H102" i="37"/>
  <c r="I46" i="37"/>
  <c r="I102" i="37"/>
  <c r="J46" i="37"/>
  <c r="J102" i="37"/>
  <c r="K46" i="37"/>
  <c r="K102" i="37"/>
  <c r="L46" i="37"/>
  <c r="L102" i="37"/>
  <c r="M46" i="37"/>
  <c r="M102" i="37"/>
  <c r="N46" i="37"/>
  <c r="N102" i="37"/>
  <c r="O46" i="37"/>
  <c r="O102" i="37"/>
  <c r="P46" i="37"/>
  <c r="P102" i="37"/>
  <c r="Q46" i="37"/>
  <c r="Q102" i="37"/>
  <c r="R46" i="37"/>
  <c r="R102" i="37"/>
  <c r="S46" i="37"/>
  <c r="S102" i="37"/>
  <c r="T46" i="37"/>
  <c r="T102" i="37"/>
  <c r="U46" i="37"/>
  <c r="U102" i="37"/>
  <c r="V46" i="37"/>
  <c r="V102" i="37"/>
  <c r="W46" i="37"/>
  <c r="W102" i="37"/>
  <c r="C47" i="37"/>
  <c r="C103" i="37"/>
  <c r="D47" i="37"/>
  <c r="D103" i="37"/>
  <c r="E47" i="37"/>
  <c r="E103" i="37"/>
  <c r="F47" i="37"/>
  <c r="F103" i="37"/>
  <c r="G47" i="37"/>
  <c r="G103" i="37"/>
  <c r="H47" i="37"/>
  <c r="H103" i="37"/>
  <c r="I47" i="37"/>
  <c r="I103" i="37"/>
  <c r="J47" i="37"/>
  <c r="J103" i="37"/>
  <c r="K47" i="37"/>
  <c r="K103" i="37"/>
  <c r="L47" i="37"/>
  <c r="L103" i="37"/>
  <c r="M47" i="37"/>
  <c r="M103" i="37"/>
  <c r="N47" i="37"/>
  <c r="N103" i="37"/>
  <c r="O47" i="37"/>
  <c r="O103" i="37"/>
  <c r="P47" i="37"/>
  <c r="P103" i="37"/>
  <c r="Q47" i="37"/>
  <c r="Q103" i="37"/>
  <c r="R47" i="37"/>
  <c r="R103" i="37"/>
  <c r="S47" i="37"/>
  <c r="S103" i="37"/>
  <c r="T47" i="37"/>
  <c r="T103" i="37"/>
  <c r="U47" i="37"/>
  <c r="U103" i="37"/>
  <c r="V47" i="37"/>
  <c r="V103" i="37"/>
  <c r="W47" i="37"/>
  <c r="W103" i="37"/>
  <c r="C48" i="37"/>
  <c r="C104" i="37"/>
  <c r="D48" i="37"/>
  <c r="D104" i="37"/>
  <c r="E48" i="37"/>
  <c r="E104" i="37"/>
  <c r="F48" i="37"/>
  <c r="F104" i="37"/>
  <c r="G48" i="37"/>
  <c r="G104" i="37"/>
  <c r="H48" i="37"/>
  <c r="H104" i="37"/>
  <c r="I48" i="37"/>
  <c r="I104" i="37"/>
  <c r="J48" i="37"/>
  <c r="J104" i="37"/>
  <c r="K48" i="37"/>
  <c r="K104" i="37"/>
  <c r="L48" i="37"/>
  <c r="L104" i="37"/>
  <c r="M48" i="37"/>
  <c r="M104" i="37"/>
  <c r="N48" i="37"/>
  <c r="N104" i="37"/>
  <c r="O48" i="37"/>
  <c r="O104" i="37"/>
  <c r="P48" i="37"/>
  <c r="P104" i="37"/>
  <c r="Q48" i="37"/>
  <c r="Q104" i="37"/>
  <c r="R48" i="37"/>
  <c r="R104" i="37"/>
  <c r="S48" i="37"/>
  <c r="S104" i="37"/>
  <c r="T48" i="37"/>
  <c r="T104" i="37"/>
  <c r="U48" i="37"/>
  <c r="U104" i="37"/>
  <c r="V48" i="37"/>
  <c r="V104" i="37"/>
  <c r="W48" i="37"/>
  <c r="W104" i="37"/>
  <c r="C49" i="37"/>
  <c r="C105" i="37"/>
  <c r="D49" i="37"/>
  <c r="D105" i="37"/>
  <c r="E49" i="37"/>
  <c r="E105" i="37"/>
  <c r="F49" i="37"/>
  <c r="F105" i="37"/>
  <c r="G49" i="37"/>
  <c r="G105" i="37"/>
  <c r="H49" i="37"/>
  <c r="H105" i="37"/>
  <c r="I49" i="37"/>
  <c r="I105" i="37"/>
  <c r="J49" i="37"/>
  <c r="J105" i="37"/>
  <c r="K49" i="37"/>
  <c r="K105" i="37"/>
  <c r="L49" i="37"/>
  <c r="L105" i="37"/>
  <c r="M49" i="37"/>
  <c r="M105" i="37"/>
  <c r="N49" i="37"/>
  <c r="N105" i="37"/>
  <c r="O49" i="37"/>
  <c r="O105" i="37"/>
  <c r="P49" i="37"/>
  <c r="P105" i="37"/>
  <c r="Q49" i="37"/>
  <c r="Q105" i="37"/>
  <c r="R49" i="37"/>
  <c r="R105" i="37"/>
  <c r="S49" i="37"/>
  <c r="S105" i="37"/>
  <c r="T49" i="37"/>
  <c r="T105" i="37"/>
  <c r="U49" i="37"/>
  <c r="U105" i="37"/>
  <c r="V49" i="37"/>
  <c r="V105" i="37"/>
  <c r="W49" i="37"/>
  <c r="W105" i="37"/>
  <c r="C50" i="37"/>
  <c r="C106" i="37"/>
  <c r="D50" i="37"/>
  <c r="D106" i="37"/>
  <c r="E50" i="37"/>
  <c r="E106" i="37"/>
  <c r="F50" i="37"/>
  <c r="F106" i="37"/>
  <c r="G50" i="37"/>
  <c r="G106" i="37"/>
  <c r="H50" i="37"/>
  <c r="H106" i="37"/>
  <c r="I50" i="37"/>
  <c r="I106" i="37"/>
  <c r="J50" i="37"/>
  <c r="J106" i="37"/>
  <c r="K50" i="37"/>
  <c r="K106" i="37"/>
  <c r="L50" i="37"/>
  <c r="L106" i="37"/>
  <c r="M50" i="37"/>
  <c r="M106" i="37"/>
  <c r="N50" i="37"/>
  <c r="N106" i="37"/>
  <c r="O50" i="37"/>
  <c r="O106" i="37"/>
  <c r="P50" i="37"/>
  <c r="P106" i="37"/>
  <c r="Q50" i="37"/>
  <c r="Q106" i="37"/>
  <c r="R50" i="37"/>
  <c r="R106" i="37"/>
  <c r="S50" i="37"/>
  <c r="S106" i="37"/>
  <c r="T50" i="37"/>
  <c r="T106" i="37"/>
  <c r="U50" i="37"/>
  <c r="U106" i="37"/>
  <c r="V50" i="37"/>
  <c r="V106" i="37"/>
  <c r="W50" i="37"/>
  <c r="W106" i="37"/>
  <c r="C51" i="37"/>
  <c r="C107" i="37"/>
  <c r="D51" i="37"/>
  <c r="D107" i="37"/>
  <c r="E51" i="37"/>
  <c r="E107" i="37"/>
  <c r="F51" i="37"/>
  <c r="F107" i="37"/>
  <c r="G51" i="37"/>
  <c r="G107" i="37"/>
  <c r="H51" i="37"/>
  <c r="H107" i="37"/>
  <c r="I51" i="37"/>
  <c r="I107" i="37"/>
  <c r="J51" i="37"/>
  <c r="J107" i="37"/>
  <c r="K51" i="37"/>
  <c r="K107" i="37"/>
  <c r="L51" i="37"/>
  <c r="L107" i="37"/>
  <c r="M51" i="37"/>
  <c r="M107" i="37"/>
  <c r="N51" i="37"/>
  <c r="N107" i="37"/>
  <c r="O51" i="37"/>
  <c r="O107" i="37"/>
  <c r="P51" i="37"/>
  <c r="P107" i="37"/>
  <c r="Q51" i="37"/>
  <c r="Q107" i="37"/>
  <c r="R51" i="37"/>
  <c r="R107" i="37"/>
  <c r="S51" i="37"/>
  <c r="S107" i="37"/>
  <c r="T51" i="37"/>
  <c r="T107" i="37"/>
  <c r="U51" i="37"/>
  <c r="U107" i="37"/>
  <c r="V51" i="37"/>
  <c r="V107" i="37"/>
  <c r="W51" i="37"/>
  <c r="W107" i="37"/>
  <c r="C52" i="37"/>
  <c r="C108" i="37"/>
  <c r="D52" i="37"/>
  <c r="D108" i="37"/>
  <c r="E52" i="37"/>
  <c r="E108" i="37"/>
  <c r="F52" i="37"/>
  <c r="F108" i="37"/>
  <c r="G52" i="37"/>
  <c r="G108" i="37"/>
  <c r="H52" i="37"/>
  <c r="H108" i="37"/>
  <c r="I52" i="37"/>
  <c r="I108" i="37"/>
  <c r="J52" i="37"/>
  <c r="J108" i="37"/>
  <c r="K52" i="37"/>
  <c r="K108" i="37"/>
  <c r="L52" i="37"/>
  <c r="L108" i="37"/>
  <c r="M52" i="37"/>
  <c r="M108" i="37"/>
  <c r="N52" i="37"/>
  <c r="N108" i="37"/>
  <c r="O52" i="37"/>
  <c r="O108" i="37"/>
  <c r="P52" i="37"/>
  <c r="P108" i="37"/>
  <c r="Q52" i="37"/>
  <c r="Q108" i="37"/>
  <c r="R52" i="37"/>
  <c r="R108" i="37"/>
  <c r="S52" i="37"/>
  <c r="S108" i="37"/>
  <c r="T52" i="37"/>
  <c r="T108" i="37"/>
  <c r="U52" i="37"/>
  <c r="U108" i="37"/>
  <c r="V52" i="37"/>
  <c r="V108" i="37"/>
  <c r="W52" i="37"/>
  <c r="W108" i="37"/>
  <c r="C53" i="37"/>
  <c r="C109" i="37"/>
  <c r="D53" i="37"/>
  <c r="D109" i="37"/>
  <c r="E53" i="37"/>
  <c r="E109" i="37"/>
  <c r="F53" i="37"/>
  <c r="F109" i="37"/>
  <c r="G53" i="37"/>
  <c r="G109" i="37"/>
  <c r="H53" i="37"/>
  <c r="H109" i="37"/>
  <c r="I53" i="37"/>
  <c r="I109" i="37"/>
  <c r="J53" i="37"/>
  <c r="J109" i="37"/>
  <c r="K53" i="37"/>
  <c r="K109" i="37"/>
  <c r="L53" i="37"/>
  <c r="L109" i="37"/>
  <c r="M53" i="37"/>
  <c r="M109" i="37"/>
  <c r="N53" i="37"/>
  <c r="N109" i="37"/>
  <c r="O53" i="37"/>
  <c r="O109" i="37"/>
  <c r="P53" i="37"/>
  <c r="P109" i="37"/>
  <c r="Q53" i="37"/>
  <c r="Q109" i="37"/>
  <c r="R53" i="37"/>
  <c r="R109" i="37"/>
  <c r="S53" i="37"/>
  <c r="S109" i="37"/>
  <c r="T53" i="37"/>
  <c r="T109" i="37"/>
  <c r="U53" i="37"/>
  <c r="U109" i="37"/>
  <c r="V53" i="37"/>
  <c r="V109" i="37"/>
  <c r="W53" i="37"/>
  <c r="W109" i="37"/>
  <c r="C54" i="37"/>
  <c r="C110" i="37"/>
  <c r="D54" i="37"/>
  <c r="D110" i="37"/>
  <c r="E54" i="37"/>
  <c r="E110" i="37"/>
  <c r="F54" i="37"/>
  <c r="F110" i="37"/>
  <c r="G54" i="37"/>
  <c r="G110" i="37"/>
  <c r="H54" i="37"/>
  <c r="H110" i="37"/>
  <c r="I54" i="37"/>
  <c r="I110" i="37"/>
  <c r="J54" i="37"/>
  <c r="J110" i="37"/>
  <c r="K54" i="37"/>
  <c r="K110" i="37"/>
  <c r="L54" i="37"/>
  <c r="L110" i="37"/>
  <c r="M54" i="37"/>
  <c r="M110" i="37"/>
  <c r="N54" i="37"/>
  <c r="N110" i="37"/>
  <c r="O54" i="37"/>
  <c r="O110" i="37"/>
  <c r="P54" i="37"/>
  <c r="P110" i="37"/>
  <c r="Q54" i="37"/>
  <c r="Q110" i="37"/>
  <c r="R54" i="37"/>
  <c r="R110" i="37"/>
  <c r="S54" i="37"/>
  <c r="S110" i="37"/>
  <c r="T54" i="37"/>
  <c r="T110" i="37"/>
  <c r="U54" i="37"/>
  <c r="U110" i="37"/>
  <c r="V54" i="37"/>
  <c r="V110" i="37"/>
  <c r="W54" i="37"/>
  <c r="W110" i="37"/>
  <c r="C55" i="37"/>
  <c r="C111" i="37"/>
  <c r="D55" i="37"/>
  <c r="D111" i="37"/>
  <c r="E55" i="37"/>
  <c r="E111" i="37"/>
  <c r="F55" i="37"/>
  <c r="F111" i="37"/>
  <c r="G55" i="37"/>
  <c r="G111" i="37"/>
  <c r="H55" i="37"/>
  <c r="H111" i="37"/>
  <c r="I55" i="37"/>
  <c r="I111" i="37"/>
  <c r="J55" i="37"/>
  <c r="J111" i="37"/>
  <c r="K55" i="37"/>
  <c r="K111" i="37"/>
  <c r="L55" i="37"/>
  <c r="L111" i="37"/>
  <c r="M55" i="37"/>
  <c r="M111" i="37"/>
  <c r="N55" i="37"/>
  <c r="N111" i="37"/>
  <c r="O55" i="37"/>
  <c r="O111" i="37"/>
  <c r="P55" i="37"/>
  <c r="P111" i="37"/>
  <c r="Q55" i="37"/>
  <c r="Q111" i="37"/>
  <c r="R55" i="37"/>
  <c r="R111" i="37"/>
  <c r="S55" i="37"/>
  <c r="S111" i="37"/>
  <c r="T55" i="37"/>
  <c r="T111" i="37"/>
  <c r="U55" i="37"/>
  <c r="U111" i="37"/>
  <c r="V55" i="37"/>
  <c r="V111" i="37"/>
  <c r="W55" i="37"/>
  <c r="W111" i="37"/>
  <c r="C56" i="37"/>
  <c r="C112" i="37"/>
  <c r="D56" i="37"/>
  <c r="D112" i="37"/>
  <c r="E56" i="37"/>
  <c r="E112" i="37"/>
  <c r="F56" i="37"/>
  <c r="F112" i="37"/>
  <c r="G56" i="37"/>
  <c r="G112" i="37"/>
  <c r="H56" i="37"/>
  <c r="H112" i="37"/>
  <c r="I56" i="37"/>
  <c r="I112" i="37"/>
  <c r="J56" i="37"/>
  <c r="J112" i="37"/>
  <c r="K56" i="37"/>
  <c r="K112" i="37"/>
  <c r="L56" i="37"/>
  <c r="L112" i="37"/>
  <c r="M56" i="37"/>
  <c r="M112" i="37"/>
  <c r="N56" i="37"/>
  <c r="N112" i="37"/>
  <c r="O56" i="37"/>
  <c r="O112" i="37"/>
  <c r="P56" i="37"/>
  <c r="P112" i="37"/>
  <c r="Q56" i="37"/>
  <c r="Q112" i="37"/>
  <c r="R56" i="37"/>
  <c r="R112" i="37"/>
  <c r="S56" i="37"/>
  <c r="S112" i="37"/>
  <c r="T56" i="37"/>
  <c r="T112" i="37"/>
  <c r="U56" i="37"/>
  <c r="U112" i="37"/>
  <c r="V56" i="37"/>
  <c r="V112" i="37"/>
  <c r="W56" i="37"/>
  <c r="W112" i="37"/>
  <c r="C57" i="37"/>
  <c r="C113" i="37"/>
  <c r="D57" i="37"/>
  <c r="D113" i="37"/>
  <c r="E57" i="37"/>
  <c r="E113" i="37"/>
  <c r="F57" i="37"/>
  <c r="F113" i="37"/>
  <c r="G57" i="37"/>
  <c r="G113" i="37"/>
  <c r="H57" i="37"/>
  <c r="H113" i="37"/>
  <c r="I57" i="37"/>
  <c r="I113" i="37"/>
  <c r="J57" i="37"/>
  <c r="J113" i="37"/>
  <c r="K57" i="37"/>
  <c r="K113" i="37"/>
  <c r="L57" i="37"/>
  <c r="L113" i="37"/>
  <c r="M57" i="37"/>
  <c r="M113" i="37"/>
  <c r="N57" i="37"/>
  <c r="N113" i="37"/>
  <c r="O57" i="37"/>
  <c r="O113" i="37"/>
  <c r="P57" i="37"/>
  <c r="P113" i="37"/>
  <c r="Q57" i="37"/>
  <c r="Q113" i="37"/>
  <c r="R57" i="37"/>
  <c r="R113" i="37"/>
  <c r="S57" i="37"/>
  <c r="S113" i="37"/>
  <c r="T57" i="37"/>
  <c r="T113" i="37"/>
  <c r="U57" i="37"/>
  <c r="U113" i="37"/>
  <c r="V57" i="37"/>
  <c r="V113" i="37"/>
  <c r="W57" i="37"/>
  <c r="W113" i="37"/>
  <c r="W116" i="37"/>
  <c r="W88" i="37"/>
  <c r="W117" i="37"/>
  <c r="D93" i="37"/>
  <c r="E93" i="37"/>
  <c r="F93" i="37"/>
  <c r="G93" i="37"/>
  <c r="H93" i="37"/>
  <c r="I93" i="37"/>
  <c r="J93" i="37"/>
  <c r="K93" i="37"/>
  <c r="L93" i="37"/>
  <c r="M93" i="37"/>
  <c r="N93" i="37"/>
  <c r="O93" i="37"/>
  <c r="P93" i="37"/>
  <c r="Q93" i="37"/>
  <c r="R93" i="37"/>
  <c r="S93" i="37"/>
  <c r="T93" i="37"/>
  <c r="U93" i="37"/>
  <c r="V93" i="37"/>
  <c r="W93" i="37"/>
  <c r="W114" i="37"/>
  <c r="V114" i="37"/>
  <c r="U114" i="37"/>
  <c r="T114" i="37"/>
  <c r="S114" i="37"/>
  <c r="R114" i="37"/>
  <c r="Q114" i="37"/>
  <c r="P114" i="37"/>
  <c r="O114" i="37"/>
  <c r="N114" i="37"/>
  <c r="M114" i="37"/>
  <c r="L114" i="37"/>
  <c r="K114" i="37"/>
  <c r="J114" i="37"/>
  <c r="I114" i="37"/>
  <c r="H114" i="37"/>
  <c r="G114" i="37"/>
  <c r="F114" i="37"/>
  <c r="E114" i="37"/>
  <c r="D114" i="37"/>
  <c r="C114" i="37"/>
  <c r="B95" i="37"/>
  <c r="B96" i="37"/>
  <c r="B97" i="37"/>
  <c r="B98" i="37"/>
  <c r="B99" i="37"/>
  <c r="B100" i="37"/>
  <c r="B101" i="37"/>
  <c r="B102" i="37"/>
  <c r="B103" i="37"/>
  <c r="B104" i="37"/>
  <c r="B105" i="37"/>
  <c r="B106" i="37"/>
  <c r="B107" i="37"/>
  <c r="B108" i="37"/>
  <c r="B109" i="37"/>
  <c r="B110" i="37"/>
  <c r="B111" i="37"/>
  <c r="B112" i="37"/>
  <c r="B113" i="37"/>
  <c r="D65" i="37"/>
  <c r="E65" i="37"/>
  <c r="F65" i="37"/>
  <c r="G65" i="37"/>
  <c r="H65" i="37"/>
  <c r="I65" i="37"/>
  <c r="J65" i="37"/>
  <c r="K65" i="37"/>
  <c r="L65" i="37"/>
  <c r="M65" i="37"/>
  <c r="N65" i="37"/>
  <c r="O65" i="37"/>
  <c r="P65" i="37"/>
  <c r="Q65" i="37"/>
  <c r="R65" i="37"/>
  <c r="S65" i="37"/>
  <c r="T65" i="37"/>
  <c r="U65" i="37"/>
  <c r="V65" i="37"/>
  <c r="W65" i="37"/>
  <c r="W86" i="37"/>
  <c r="V86" i="37"/>
  <c r="U86" i="37"/>
  <c r="T86" i="37"/>
  <c r="S86" i="37"/>
  <c r="R86" i="37"/>
  <c r="Q86" i="37"/>
  <c r="P86" i="37"/>
  <c r="O86" i="37"/>
  <c r="N86" i="37"/>
  <c r="M86" i="37"/>
  <c r="L86" i="37"/>
  <c r="K86" i="37"/>
  <c r="J86" i="37"/>
  <c r="I86" i="37"/>
  <c r="H86" i="37"/>
  <c r="G86" i="37"/>
  <c r="F86" i="37"/>
  <c r="E86" i="37"/>
  <c r="D86" i="37"/>
  <c r="C86" i="37"/>
  <c r="B67" i="37"/>
  <c r="B68" i="37"/>
  <c r="B69" i="37"/>
  <c r="B70" i="37"/>
  <c r="B71" i="37"/>
  <c r="B72" i="37"/>
  <c r="B73" i="37"/>
  <c r="B74" i="37"/>
  <c r="B75" i="37"/>
  <c r="B76" i="37"/>
  <c r="B77" i="37"/>
  <c r="B78" i="37"/>
  <c r="B79" i="37"/>
  <c r="B80" i="37"/>
  <c r="B81" i="37"/>
  <c r="B82" i="37"/>
  <c r="B83" i="37"/>
  <c r="B84" i="37"/>
  <c r="B85" i="37"/>
  <c r="D37" i="37"/>
  <c r="E37" i="37"/>
  <c r="F37" i="37"/>
  <c r="G37" i="37"/>
  <c r="H37" i="37"/>
  <c r="I37" i="37"/>
  <c r="J37" i="37"/>
  <c r="K37" i="37"/>
  <c r="L37" i="37"/>
  <c r="M37" i="37"/>
  <c r="N37" i="37"/>
  <c r="O37" i="37"/>
  <c r="P37" i="37"/>
  <c r="Q37" i="37"/>
  <c r="R37" i="37"/>
  <c r="S37" i="37"/>
  <c r="T37" i="37"/>
  <c r="U37" i="37"/>
  <c r="V37" i="37"/>
  <c r="W37" i="37"/>
  <c r="W58" i="37"/>
  <c r="V58" i="37"/>
  <c r="U58" i="37"/>
  <c r="T58" i="37"/>
  <c r="S58" i="37"/>
  <c r="R58" i="37"/>
  <c r="Q58" i="37"/>
  <c r="P58" i="37"/>
  <c r="O58" i="37"/>
  <c r="N58" i="37"/>
  <c r="M58" i="37"/>
  <c r="L58" i="37"/>
  <c r="K58" i="37"/>
  <c r="J58" i="37"/>
  <c r="I58" i="37"/>
  <c r="H58" i="37"/>
  <c r="G58" i="37"/>
  <c r="F58" i="37"/>
  <c r="E58" i="37"/>
  <c r="D58" i="37"/>
  <c r="C58" i="37"/>
  <c r="B39" i="37"/>
  <c r="B40" i="37"/>
  <c r="B41" i="37"/>
  <c r="B42" i="37"/>
  <c r="B43" i="37"/>
  <c r="B44" i="37"/>
  <c r="B45" i="37"/>
  <c r="B46" i="37"/>
  <c r="B47" i="37"/>
  <c r="B48" i="37"/>
  <c r="B49" i="37"/>
  <c r="B50" i="37"/>
  <c r="B51" i="37"/>
  <c r="B52" i="37"/>
  <c r="B53" i="37"/>
  <c r="B54" i="37"/>
  <c r="B55" i="37"/>
  <c r="B56" i="37"/>
  <c r="B57" i="37"/>
  <c r="AC9" i="37"/>
  <c r="AD9" i="37"/>
  <c r="AE9" i="37"/>
  <c r="AF9" i="37"/>
  <c r="AG9" i="37"/>
  <c r="AH9" i="37"/>
  <c r="AI9" i="37"/>
  <c r="AJ9" i="37"/>
  <c r="AK9" i="37"/>
  <c r="AL9" i="37"/>
  <c r="AM9" i="37"/>
  <c r="AN9" i="37"/>
  <c r="AO9" i="37"/>
  <c r="AP9" i="37"/>
  <c r="AQ9" i="37"/>
  <c r="AR9" i="37"/>
  <c r="AS9" i="37"/>
  <c r="AT9" i="37"/>
  <c r="AU9" i="37"/>
  <c r="AV9" i="37"/>
  <c r="AV30" i="37"/>
  <c r="AU30" i="37"/>
  <c r="AT30" i="37"/>
  <c r="AS30" i="37"/>
  <c r="AR30" i="37"/>
  <c r="AQ30" i="37"/>
  <c r="AP30" i="37"/>
  <c r="AO30" i="37"/>
  <c r="AN30" i="37"/>
  <c r="AM30" i="37"/>
  <c r="AL30" i="37"/>
  <c r="AK30" i="37"/>
  <c r="AJ30" i="37"/>
  <c r="AI30" i="37"/>
  <c r="AH30" i="37"/>
  <c r="AG30" i="37"/>
  <c r="AF30" i="37"/>
  <c r="AE30" i="37"/>
  <c r="AD30" i="37"/>
  <c r="AC30" i="37"/>
  <c r="AB30" i="37"/>
  <c r="D9" i="37"/>
  <c r="E9" i="37"/>
  <c r="F9" i="37"/>
  <c r="G9" i="37"/>
  <c r="H9" i="37"/>
  <c r="I9" i="37"/>
  <c r="J9" i="37"/>
  <c r="K9" i="37"/>
  <c r="L9" i="37"/>
  <c r="M9" i="37"/>
  <c r="N9" i="37"/>
  <c r="O9" i="37"/>
  <c r="P9" i="37"/>
  <c r="Q9" i="37"/>
  <c r="R9" i="37"/>
  <c r="S9" i="37"/>
  <c r="T9" i="37"/>
  <c r="U9" i="37"/>
  <c r="V9" i="37"/>
  <c r="W9" i="37"/>
  <c r="W30" i="37"/>
  <c r="V30" i="37"/>
  <c r="U30" i="37"/>
  <c r="T30" i="37"/>
  <c r="S30" i="37"/>
  <c r="R30" i="37"/>
  <c r="Q30" i="37"/>
  <c r="P30" i="37"/>
  <c r="O30" i="37"/>
  <c r="N30" i="37"/>
  <c r="M30" i="37"/>
  <c r="L30" i="37"/>
  <c r="K30" i="37"/>
  <c r="J30" i="37"/>
  <c r="I30" i="37"/>
  <c r="H30" i="37"/>
  <c r="G30" i="37"/>
  <c r="F30" i="37"/>
  <c r="E30" i="37"/>
  <c r="D30" i="37"/>
  <c r="C30" i="37"/>
  <c r="AA11" i="37"/>
  <c r="AA12" i="37"/>
  <c r="AA13" i="37"/>
  <c r="AA14" i="37"/>
  <c r="AA15" i="37"/>
  <c r="AA16" i="37"/>
  <c r="AA17" i="37"/>
  <c r="AA18" i="37"/>
  <c r="AA19" i="37"/>
  <c r="AA20" i="37"/>
  <c r="AA21" i="37"/>
  <c r="AA22" i="37"/>
  <c r="AA23" i="37"/>
  <c r="AA24" i="37"/>
  <c r="AA25" i="37"/>
  <c r="AA26" i="37"/>
  <c r="AA27" i="37"/>
  <c r="AA28" i="37"/>
  <c r="AA29" i="37"/>
  <c r="B11" i="37"/>
  <c r="B12" i="37"/>
  <c r="B13" i="37"/>
  <c r="B14" i="37"/>
  <c r="B15" i="37"/>
  <c r="B16" i="37"/>
  <c r="B17" i="37"/>
  <c r="B18" i="37"/>
  <c r="B19" i="37"/>
  <c r="B20" i="37"/>
  <c r="B21" i="37"/>
  <c r="B22" i="37"/>
  <c r="B23" i="37"/>
  <c r="B24" i="37"/>
  <c r="B25" i="37"/>
  <c r="B26" i="37"/>
  <c r="B27" i="37"/>
  <c r="B28" i="37"/>
  <c r="B29" i="37"/>
  <c r="C3" i="37"/>
  <c r="C4" i="37"/>
  <c r="C2" i="37"/>
  <c r="C38" i="36"/>
  <c r="C94" i="36"/>
  <c r="D38" i="36"/>
  <c r="D94" i="36"/>
  <c r="E38" i="36"/>
  <c r="E94" i="36"/>
  <c r="F38" i="36"/>
  <c r="F94" i="36"/>
  <c r="G38" i="36"/>
  <c r="G94" i="36"/>
  <c r="H38" i="36"/>
  <c r="H94" i="36"/>
  <c r="I38" i="36"/>
  <c r="I94" i="36"/>
  <c r="J38" i="36"/>
  <c r="J94" i="36"/>
  <c r="K38" i="36"/>
  <c r="K94" i="36"/>
  <c r="L38" i="36"/>
  <c r="L94" i="36"/>
  <c r="M38" i="36"/>
  <c r="M94" i="36"/>
  <c r="N38" i="36"/>
  <c r="N94" i="36"/>
  <c r="O38" i="36"/>
  <c r="O94" i="36"/>
  <c r="P38" i="36"/>
  <c r="P94" i="36"/>
  <c r="Q38" i="36"/>
  <c r="Q94" i="36"/>
  <c r="R38" i="36"/>
  <c r="R94" i="36"/>
  <c r="S38" i="36"/>
  <c r="S94" i="36"/>
  <c r="T38" i="36"/>
  <c r="T94" i="36"/>
  <c r="U38" i="36"/>
  <c r="U94" i="36"/>
  <c r="V38" i="36"/>
  <c r="V94" i="36"/>
  <c r="W38" i="36"/>
  <c r="W94" i="36"/>
  <c r="C39" i="36"/>
  <c r="C95" i="36"/>
  <c r="D39" i="36"/>
  <c r="D95" i="36"/>
  <c r="E39" i="36"/>
  <c r="E95" i="36"/>
  <c r="F39" i="36"/>
  <c r="F95" i="36"/>
  <c r="G39" i="36"/>
  <c r="G95" i="36"/>
  <c r="H39" i="36"/>
  <c r="H95" i="36"/>
  <c r="I39" i="36"/>
  <c r="I95" i="36"/>
  <c r="J39" i="36"/>
  <c r="J95" i="36"/>
  <c r="K39" i="36"/>
  <c r="K95" i="36"/>
  <c r="L39" i="36"/>
  <c r="L95" i="36"/>
  <c r="M39" i="36"/>
  <c r="M95" i="36"/>
  <c r="N39" i="36"/>
  <c r="N95" i="36"/>
  <c r="O39" i="36"/>
  <c r="O95" i="36"/>
  <c r="P39" i="36"/>
  <c r="P95" i="36"/>
  <c r="Q39" i="36"/>
  <c r="Q95" i="36"/>
  <c r="R39" i="36"/>
  <c r="R95" i="36"/>
  <c r="S39" i="36"/>
  <c r="S95" i="36"/>
  <c r="T39" i="36"/>
  <c r="T95" i="36"/>
  <c r="U39" i="36"/>
  <c r="U95" i="36"/>
  <c r="V39" i="36"/>
  <c r="V95" i="36"/>
  <c r="W39" i="36"/>
  <c r="W95" i="36"/>
  <c r="C40" i="36"/>
  <c r="C96" i="36"/>
  <c r="D40" i="36"/>
  <c r="D96" i="36"/>
  <c r="E40" i="36"/>
  <c r="E96" i="36"/>
  <c r="F40" i="36"/>
  <c r="F96" i="36"/>
  <c r="G40" i="36"/>
  <c r="G96" i="36"/>
  <c r="H40" i="36"/>
  <c r="H96" i="36"/>
  <c r="I40" i="36"/>
  <c r="I96" i="36"/>
  <c r="J40" i="36"/>
  <c r="J96" i="36"/>
  <c r="K40" i="36"/>
  <c r="K96" i="36"/>
  <c r="L40" i="36"/>
  <c r="L96" i="36"/>
  <c r="M40" i="36"/>
  <c r="M96" i="36"/>
  <c r="N40" i="36"/>
  <c r="N96" i="36"/>
  <c r="O40" i="36"/>
  <c r="O96" i="36"/>
  <c r="P40" i="36"/>
  <c r="P96" i="36"/>
  <c r="Q40" i="36"/>
  <c r="Q96" i="36"/>
  <c r="R40" i="36"/>
  <c r="R96" i="36"/>
  <c r="S40" i="36"/>
  <c r="S96" i="36"/>
  <c r="T40" i="36"/>
  <c r="T96" i="36"/>
  <c r="U40" i="36"/>
  <c r="U96" i="36"/>
  <c r="V40" i="36"/>
  <c r="V96" i="36"/>
  <c r="W40" i="36"/>
  <c r="W96" i="36"/>
  <c r="C41" i="36"/>
  <c r="C97" i="36"/>
  <c r="D41" i="36"/>
  <c r="D97" i="36"/>
  <c r="E41" i="36"/>
  <c r="E97" i="36"/>
  <c r="F41" i="36"/>
  <c r="F97" i="36"/>
  <c r="G41" i="36"/>
  <c r="G97" i="36"/>
  <c r="H41" i="36"/>
  <c r="H97" i="36"/>
  <c r="I41" i="36"/>
  <c r="I97" i="36"/>
  <c r="J41" i="36"/>
  <c r="J97" i="36"/>
  <c r="K41" i="36"/>
  <c r="K97" i="36"/>
  <c r="L41" i="36"/>
  <c r="L97" i="36"/>
  <c r="M41" i="36"/>
  <c r="M97" i="36"/>
  <c r="N41" i="36"/>
  <c r="N97" i="36"/>
  <c r="O41" i="36"/>
  <c r="O97" i="36"/>
  <c r="P41" i="36"/>
  <c r="P97" i="36"/>
  <c r="Q41" i="36"/>
  <c r="Q97" i="36"/>
  <c r="R41" i="36"/>
  <c r="R97" i="36"/>
  <c r="S41" i="36"/>
  <c r="S97" i="36"/>
  <c r="T41" i="36"/>
  <c r="T97" i="36"/>
  <c r="U41" i="36"/>
  <c r="U97" i="36"/>
  <c r="V41" i="36"/>
  <c r="V97" i="36"/>
  <c r="W41" i="36"/>
  <c r="W97" i="36"/>
  <c r="C42" i="36"/>
  <c r="C98" i="36"/>
  <c r="D42" i="36"/>
  <c r="D98" i="36"/>
  <c r="E42" i="36"/>
  <c r="E98" i="36"/>
  <c r="F42" i="36"/>
  <c r="F98" i="36"/>
  <c r="G42" i="36"/>
  <c r="G98" i="36"/>
  <c r="H42" i="36"/>
  <c r="H98" i="36"/>
  <c r="I42" i="36"/>
  <c r="I98" i="36"/>
  <c r="J42" i="36"/>
  <c r="J98" i="36"/>
  <c r="K42" i="36"/>
  <c r="K98" i="36"/>
  <c r="L42" i="36"/>
  <c r="L98" i="36"/>
  <c r="M42" i="36"/>
  <c r="M98" i="36"/>
  <c r="N42" i="36"/>
  <c r="N98" i="36"/>
  <c r="O42" i="36"/>
  <c r="O98" i="36"/>
  <c r="P42" i="36"/>
  <c r="P98" i="36"/>
  <c r="Q42" i="36"/>
  <c r="Q98" i="36"/>
  <c r="R42" i="36"/>
  <c r="R98" i="36"/>
  <c r="S42" i="36"/>
  <c r="S98" i="36"/>
  <c r="T42" i="36"/>
  <c r="T98" i="36"/>
  <c r="U42" i="36"/>
  <c r="U98" i="36"/>
  <c r="V42" i="36"/>
  <c r="V98" i="36"/>
  <c r="W42" i="36"/>
  <c r="W98" i="36"/>
  <c r="C43" i="36"/>
  <c r="C99" i="36"/>
  <c r="D43" i="36"/>
  <c r="D99" i="36"/>
  <c r="E43" i="36"/>
  <c r="E99" i="36"/>
  <c r="F43" i="36"/>
  <c r="F99" i="36"/>
  <c r="G43" i="36"/>
  <c r="G99" i="36"/>
  <c r="H43" i="36"/>
  <c r="H99" i="36"/>
  <c r="I43" i="36"/>
  <c r="I99" i="36"/>
  <c r="J43" i="36"/>
  <c r="J99" i="36"/>
  <c r="K43" i="36"/>
  <c r="K99" i="36"/>
  <c r="L43" i="36"/>
  <c r="L99" i="36"/>
  <c r="M43" i="36"/>
  <c r="M99" i="36"/>
  <c r="N43" i="36"/>
  <c r="N99" i="36"/>
  <c r="O43" i="36"/>
  <c r="O99" i="36"/>
  <c r="P43" i="36"/>
  <c r="P99" i="36"/>
  <c r="Q43" i="36"/>
  <c r="Q99" i="36"/>
  <c r="R43" i="36"/>
  <c r="R99" i="36"/>
  <c r="S43" i="36"/>
  <c r="S99" i="36"/>
  <c r="T43" i="36"/>
  <c r="T99" i="36"/>
  <c r="U43" i="36"/>
  <c r="U99" i="36"/>
  <c r="V43" i="36"/>
  <c r="V99" i="36"/>
  <c r="W43" i="36"/>
  <c r="W99" i="36"/>
  <c r="C44" i="36"/>
  <c r="C100" i="36"/>
  <c r="D44" i="36"/>
  <c r="D100" i="36"/>
  <c r="E44" i="36"/>
  <c r="E100" i="36"/>
  <c r="F44" i="36"/>
  <c r="F100" i="36"/>
  <c r="G44" i="36"/>
  <c r="G100" i="36"/>
  <c r="H44" i="36"/>
  <c r="H100" i="36"/>
  <c r="I44" i="36"/>
  <c r="I100" i="36"/>
  <c r="J44" i="36"/>
  <c r="J100" i="36"/>
  <c r="K44" i="36"/>
  <c r="K100" i="36"/>
  <c r="L44" i="36"/>
  <c r="L100" i="36"/>
  <c r="M44" i="36"/>
  <c r="M100" i="36"/>
  <c r="N44" i="36"/>
  <c r="N100" i="36"/>
  <c r="O44" i="36"/>
  <c r="O100" i="36"/>
  <c r="P44" i="36"/>
  <c r="P100" i="36"/>
  <c r="Q44" i="36"/>
  <c r="Q100" i="36"/>
  <c r="R44" i="36"/>
  <c r="R100" i="36"/>
  <c r="S44" i="36"/>
  <c r="S100" i="36"/>
  <c r="T44" i="36"/>
  <c r="T100" i="36"/>
  <c r="U44" i="36"/>
  <c r="U100" i="36"/>
  <c r="V44" i="36"/>
  <c r="V100" i="36"/>
  <c r="W44" i="36"/>
  <c r="W100" i="36"/>
  <c r="C45" i="36"/>
  <c r="C101" i="36"/>
  <c r="D45" i="36"/>
  <c r="D101" i="36"/>
  <c r="E45" i="36"/>
  <c r="E101" i="36"/>
  <c r="F45" i="36"/>
  <c r="F101" i="36"/>
  <c r="G45" i="36"/>
  <c r="G101" i="36"/>
  <c r="H45" i="36"/>
  <c r="H101" i="36"/>
  <c r="I45" i="36"/>
  <c r="I101" i="36"/>
  <c r="J45" i="36"/>
  <c r="J101" i="36"/>
  <c r="K45" i="36"/>
  <c r="K101" i="36"/>
  <c r="L45" i="36"/>
  <c r="L101" i="36"/>
  <c r="M45" i="36"/>
  <c r="M101" i="36"/>
  <c r="N45" i="36"/>
  <c r="N101" i="36"/>
  <c r="O45" i="36"/>
  <c r="O101" i="36"/>
  <c r="P45" i="36"/>
  <c r="P101" i="36"/>
  <c r="Q45" i="36"/>
  <c r="Q101" i="36"/>
  <c r="R45" i="36"/>
  <c r="R101" i="36"/>
  <c r="S45" i="36"/>
  <c r="S101" i="36"/>
  <c r="T45" i="36"/>
  <c r="T101" i="36"/>
  <c r="U45" i="36"/>
  <c r="U101" i="36"/>
  <c r="V45" i="36"/>
  <c r="V101" i="36"/>
  <c r="W45" i="36"/>
  <c r="W101" i="36"/>
  <c r="C46" i="36"/>
  <c r="C102" i="36"/>
  <c r="D46" i="36"/>
  <c r="D102" i="36"/>
  <c r="E46" i="36"/>
  <c r="E102" i="36"/>
  <c r="F46" i="36"/>
  <c r="F102" i="36"/>
  <c r="G46" i="36"/>
  <c r="G102" i="36"/>
  <c r="H46" i="36"/>
  <c r="H102" i="36"/>
  <c r="I46" i="36"/>
  <c r="I102" i="36"/>
  <c r="J46" i="36"/>
  <c r="J102" i="36"/>
  <c r="K46" i="36"/>
  <c r="K102" i="36"/>
  <c r="L46" i="36"/>
  <c r="L102" i="36"/>
  <c r="M46" i="36"/>
  <c r="M102" i="36"/>
  <c r="N46" i="36"/>
  <c r="N102" i="36"/>
  <c r="O46" i="36"/>
  <c r="O102" i="36"/>
  <c r="P46" i="36"/>
  <c r="P102" i="36"/>
  <c r="Q46" i="36"/>
  <c r="Q102" i="36"/>
  <c r="R46" i="36"/>
  <c r="R102" i="36"/>
  <c r="S46" i="36"/>
  <c r="S102" i="36"/>
  <c r="T46" i="36"/>
  <c r="T102" i="36"/>
  <c r="U46" i="36"/>
  <c r="U102" i="36"/>
  <c r="V46" i="36"/>
  <c r="V102" i="36"/>
  <c r="W46" i="36"/>
  <c r="W102" i="36"/>
  <c r="C47" i="36"/>
  <c r="C103" i="36"/>
  <c r="D47" i="36"/>
  <c r="D103" i="36"/>
  <c r="E47" i="36"/>
  <c r="E103" i="36"/>
  <c r="F47" i="36"/>
  <c r="F103" i="36"/>
  <c r="G47" i="36"/>
  <c r="G103" i="36"/>
  <c r="H47" i="36"/>
  <c r="H103" i="36"/>
  <c r="I47" i="36"/>
  <c r="I103" i="36"/>
  <c r="J47" i="36"/>
  <c r="J103" i="36"/>
  <c r="K47" i="36"/>
  <c r="K103" i="36"/>
  <c r="L47" i="36"/>
  <c r="L103" i="36"/>
  <c r="M47" i="36"/>
  <c r="M103" i="36"/>
  <c r="N47" i="36"/>
  <c r="N103" i="36"/>
  <c r="O47" i="36"/>
  <c r="O103" i="36"/>
  <c r="P47" i="36"/>
  <c r="P103" i="36"/>
  <c r="Q47" i="36"/>
  <c r="Q103" i="36"/>
  <c r="R47" i="36"/>
  <c r="R103" i="36"/>
  <c r="S47" i="36"/>
  <c r="S103" i="36"/>
  <c r="T47" i="36"/>
  <c r="T103" i="36"/>
  <c r="U47" i="36"/>
  <c r="U103" i="36"/>
  <c r="V47" i="36"/>
  <c r="V103" i="36"/>
  <c r="W47" i="36"/>
  <c r="W103" i="36"/>
  <c r="C48" i="36"/>
  <c r="C104" i="36"/>
  <c r="D48" i="36"/>
  <c r="D104" i="36"/>
  <c r="E48" i="36"/>
  <c r="E104" i="36"/>
  <c r="F48" i="36"/>
  <c r="F104" i="36"/>
  <c r="G48" i="36"/>
  <c r="G104" i="36"/>
  <c r="H48" i="36"/>
  <c r="H104" i="36"/>
  <c r="I48" i="36"/>
  <c r="I104" i="36"/>
  <c r="J48" i="36"/>
  <c r="J104" i="36"/>
  <c r="K48" i="36"/>
  <c r="K104" i="36"/>
  <c r="L48" i="36"/>
  <c r="L104" i="36"/>
  <c r="M48" i="36"/>
  <c r="M104" i="36"/>
  <c r="N48" i="36"/>
  <c r="N104" i="36"/>
  <c r="O48" i="36"/>
  <c r="O104" i="36"/>
  <c r="P48" i="36"/>
  <c r="P104" i="36"/>
  <c r="Q48" i="36"/>
  <c r="Q104" i="36"/>
  <c r="R48" i="36"/>
  <c r="R104" i="36"/>
  <c r="S48" i="36"/>
  <c r="S104" i="36"/>
  <c r="T48" i="36"/>
  <c r="T104" i="36"/>
  <c r="U48" i="36"/>
  <c r="U104" i="36"/>
  <c r="V48" i="36"/>
  <c r="V104" i="36"/>
  <c r="W48" i="36"/>
  <c r="W104" i="36"/>
  <c r="C49" i="36"/>
  <c r="C105" i="36"/>
  <c r="D49" i="36"/>
  <c r="D105" i="36"/>
  <c r="E49" i="36"/>
  <c r="E105" i="36"/>
  <c r="F49" i="36"/>
  <c r="F105" i="36"/>
  <c r="G49" i="36"/>
  <c r="G105" i="36"/>
  <c r="H49" i="36"/>
  <c r="H105" i="36"/>
  <c r="I49" i="36"/>
  <c r="I105" i="36"/>
  <c r="J49" i="36"/>
  <c r="J105" i="36"/>
  <c r="K49" i="36"/>
  <c r="K105" i="36"/>
  <c r="L49" i="36"/>
  <c r="L105" i="36"/>
  <c r="M49" i="36"/>
  <c r="M105" i="36"/>
  <c r="N49" i="36"/>
  <c r="N105" i="36"/>
  <c r="O49" i="36"/>
  <c r="O105" i="36"/>
  <c r="P49" i="36"/>
  <c r="P105" i="36"/>
  <c r="Q49" i="36"/>
  <c r="Q105" i="36"/>
  <c r="R49" i="36"/>
  <c r="R105" i="36"/>
  <c r="S49" i="36"/>
  <c r="S105" i="36"/>
  <c r="T49" i="36"/>
  <c r="T105" i="36"/>
  <c r="U49" i="36"/>
  <c r="U105" i="36"/>
  <c r="V49" i="36"/>
  <c r="V105" i="36"/>
  <c r="W49" i="36"/>
  <c r="W105" i="36"/>
  <c r="C50" i="36"/>
  <c r="C106" i="36"/>
  <c r="D50" i="36"/>
  <c r="D106" i="36"/>
  <c r="E50" i="36"/>
  <c r="E106" i="36"/>
  <c r="F50" i="36"/>
  <c r="F106" i="36"/>
  <c r="G50" i="36"/>
  <c r="G106" i="36"/>
  <c r="H50" i="36"/>
  <c r="H106" i="36"/>
  <c r="I50" i="36"/>
  <c r="I106" i="36"/>
  <c r="J50" i="36"/>
  <c r="J106" i="36"/>
  <c r="K50" i="36"/>
  <c r="K106" i="36"/>
  <c r="L50" i="36"/>
  <c r="L106" i="36"/>
  <c r="M50" i="36"/>
  <c r="M106" i="36"/>
  <c r="N50" i="36"/>
  <c r="N106" i="36"/>
  <c r="O106" i="36"/>
  <c r="P50" i="36"/>
  <c r="P106" i="36"/>
  <c r="Q50" i="36"/>
  <c r="Q106" i="36"/>
  <c r="R50" i="36"/>
  <c r="R106" i="36"/>
  <c r="S50" i="36"/>
  <c r="S106" i="36"/>
  <c r="T50" i="36"/>
  <c r="T106" i="36"/>
  <c r="U50" i="36"/>
  <c r="U106" i="36"/>
  <c r="V50" i="36"/>
  <c r="V106" i="36"/>
  <c r="W50" i="36"/>
  <c r="W106" i="36"/>
  <c r="C51" i="36"/>
  <c r="C107" i="36"/>
  <c r="D51" i="36"/>
  <c r="D107" i="36"/>
  <c r="E51" i="36"/>
  <c r="E107" i="36"/>
  <c r="F51" i="36"/>
  <c r="F107" i="36"/>
  <c r="G51" i="36"/>
  <c r="G107" i="36"/>
  <c r="H51" i="36"/>
  <c r="H107" i="36"/>
  <c r="I51" i="36"/>
  <c r="I107" i="36"/>
  <c r="J51" i="36"/>
  <c r="J107" i="36"/>
  <c r="K51" i="36"/>
  <c r="K107" i="36"/>
  <c r="L51" i="36"/>
  <c r="L107" i="36"/>
  <c r="M51" i="36"/>
  <c r="M107" i="36"/>
  <c r="N51" i="36"/>
  <c r="N107" i="36"/>
  <c r="O51" i="36"/>
  <c r="O107" i="36"/>
  <c r="P51" i="36"/>
  <c r="P107" i="36"/>
  <c r="Q51" i="36"/>
  <c r="Q107" i="36"/>
  <c r="R51" i="36"/>
  <c r="R107" i="36"/>
  <c r="S51" i="36"/>
  <c r="S107" i="36"/>
  <c r="T51" i="36"/>
  <c r="T107" i="36"/>
  <c r="U51" i="36"/>
  <c r="U107" i="36"/>
  <c r="V51" i="36"/>
  <c r="V107" i="36"/>
  <c r="W51" i="36"/>
  <c r="W107" i="36"/>
  <c r="C52" i="36"/>
  <c r="C108" i="36"/>
  <c r="D52" i="36"/>
  <c r="D108" i="36"/>
  <c r="E52" i="36"/>
  <c r="E108" i="36"/>
  <c r="F52" i="36"/>
  <c r="F108" i="36"/>
  <c r="G52" i="36"/>
  <c r="G108" i="36"/>
  <c r="H52" i="36"/>
  <c r="H108" i="36"/>
  <c r="I52" i="36"/>
  <c r="I108" i="36"/>
  <c r="J52" i="36"/>
  <c r="J108" i="36"/>
  <c r="K52" i="36"/>
  <c r="K108" i="36"/>
  <c r="L52" i="36"/>
  <c r="L108" i="36"/>
  <c r="M52" i="36"/>
  <c r="M108" i="36"/>
  <c r="N52" i="36"/>
  <c r="N108" i="36"/>
  <c r="O52" i="36"/>
  <c r="O108" i="36"/>
  <c r="P52" i="36"/>
  <c r="P108" i="36"/>
  <c r="Q52" i="36"/>
  <c r="Q108" i="36"/>
  <c r="R52" i="36"/>
  <c r="R108" i="36"/>
  <c r="S52" i="36"/>
  <c r="S108" i="36"/>
  <c r="T52" i="36"/>
  <c r="T108" i="36"/>
  <c r="U52" i="36"/>
  <c r="U108" i="36"/>
  <c r="V52" i="36"/>
  <c r="V108" i="36"/>
  <c r="W52" i="36"/>
  <c r="W108" i="36"/>
  <c r="C53" i="36"/>
  <c r="C109" i="36"/>
  <c r="D53" i="36"/>
  <c r="D109" i="36"/>
  <c r="E53" i="36"/>
  <c r="E109" i="36"/>
  <c r="F53" i="36"/>
  <c r="F109" i="36"/>
  <c r="G53" i="36"/>
  <c r="G109" i="36"/>
  <c r="H53" i="36"/>
  <c r="H109" i="36"/>
  <c r="I53" i="36"/>
  <c r="I109" i="36"/>
  <c r="J53" i="36"/>
  <c r="J109" i="36"/>
  <c r="K53" i="36"/>
  <c r="K109" i="36"/>
  <c r="L53" i="36"/>
  <c r="L109" i="36"/>
  <c r="M53" i="36"/>
  <c r="M109" i="36"/>
  <c r="N53" i="36"/>
  <c r="N109" i="36"/>
  <c r="O53" i="36"/>
  <c r="O109" i="36"/>
  <c r="P53" i="36"/>
  <c r="P109" i="36"/>
  <c r="Q53" i="36"/>
  <c r="Q109" i="36"/>
  <c r="R53" i="36"/>
  <c r="R109" i="36"/>
  <c r="S53" i="36"/>
  <c r="S109" i="36"/>
  <c r="T53" i="36"/>
  <c r="T109" i="36"/>
  <c r="U53" i="36"/>
  <c r="U109" i="36"/>
  <c r="V53" i="36"/>
  <c r="V109" i="36"/>
  <c r="W53" i="36"/>
  <c r="W109" i="36"/>
  <c r="C54" i="36"/>
  <c r="C110" i="36"/>
  <c r="D54" i="36"/>
  <c r="D110" i="36"/>
  <c r="E54" i="36"/>
  <c r="E110" i="36"/>
  <c r="F54" i="36"/>
  <c r="F110" i="36"/>
  <c r="G54" i="36"/>
  <c r="G110" i="36"/>
  <c r="H54" i="36"/>
  <c r="H110" i="36"/>
  <c r="I54" i="36"/>
  <c r="I110" i="36"/>
  <c r="J54" i="36"/>
  <c r="J110" i="36"/>
  <c r="K54" i="36"/>
  <c r="K110" i="36"/>
  <c r="L54" i="36"/>
  <c r="L110" i="36"/>
  <c r="M54" i="36"/>
  <c r="M110" i="36"/>
  <c r="N54" i="36"/>
  <c r="N110" i="36"/>
  <c r="O54" i="36"/>
  <c r="O110" i="36"/>
  <c r="P54" i="36"/>
  <c r="P110" i="36"/>
  <c r="Q54" i="36"/>
  <c r="Q110" i="36"/>
  <c r="R54" i="36"/>
  <c r="R110" i="36"/>
  <c r="S54" i="36"/>
  <c r="S110" i="36"/>
  <c r="T54" i="36"/>
  <c r="T110" i="36"/>
  <c r="U54" i="36"/>
  <c r="U110" i="36"/>
  <c r="V54" i="36"/>
  <c r="V110" i="36"/>
  <c r="W54" i="36"/>
  <c r="W110" i="36"/>
  <c r="C55" i="36"/>
  <c r="C111" i="36"/>
  <c r="D55" i="36"/>
  <c r="D111" i="36"/>
  <c r="E55" i="36"/>
  <c r="E111" i="36"/>
  <c r="F55" i="36"/>
  <c r="F111" i="36"/>
  <c r="G55" i="36"/>
  <c r="G111" i="36"/>
  <c r="H55" i="36"/>
  <c r="H111" i="36"/>
  <c r="I55" i="36"/>
  <c r="I111" i="36"/>
  <c r="J55" i="36"/>
  <c r="J111" i="36"/>
  <c r="K55" i="36"/>
  <c r="K111" i="36"/>
  <c r="L55" i="36"/>
  <c r="L111" i="36"/>
  <c r="M55" i="36"/>
  <c r="M111" i="36"/>
  <c r="N55" i="36"/>
  <c r="N111" i="36"/>
  <c r="O55" i="36"/>
  <c r="O111" i="36"/>
  <c r="P55" i="36"/>
  <c r="P111" i="36"/>
  <c r="Q55" i="36"/>
  <c r="Q111" i="36"/>
  <c r="R55" i="36"/>
  <c r="R111" i="36"/>
  <c r="S55" i="36"/>
  <c r="S111" i="36"/>
  <c r="T55" i="36"/>
  <c r="T111" i="36"/>
  <c r="U55" i="36"/>
  <c r="U111" i="36"/>
  <c r="V55" i="36"/>
  <c r="V111" i="36"/>
  <c r="W55" i="36"/>
  <c r="W111" i="36"/>
  <c r="C56" i="36"/>
  <c r="C112" i="36"/>
  <c r="D56" i="36"/>
  <c r="D112" i="36"/>
  <c r="E56" i="36"/>
  <c r="E112" i="36"/>
  <c r="F56" i="36"/>
  <c r="F112" i="36"/>
  <c r="G56" i="36"/>
  <c r="G112" i="36"/>
  <c r="H56" i="36"/>
  <c r="H112" i="36"/>
  <c r="I56" i="36"/>
  <c r="I112" i="36"/>
  <c r="J56" i="36"/>
  <c r="J112" i="36"/>
  <c r="K56" i="36"/>
  <c r="K112" i="36"/>
  <c r="L56" i="36"/>
  <c r="L112" i="36"/>
  <c r="M56" i="36"/>
  <c r="M112" i="36"/>
  <c r="N56" i="36"/>
  <c r="N112" i="36"/>
  <c r="O56" i="36"/>
  <c r="O112" i="36"/>
  <c r="P56" i="36"/>
  <c r="P112" i="36"/>
  <c r="Q56" i="36"/>
  <c r="Q112" i="36"/>
  <c r="R56" i="36"/>
  <c r="R112" i="36"/>
  <c r="S56" i="36"/>
  <c r="S112" i="36"/>
  <c r="T56" i="36"/>
  <c r="T112" i="36"/>
  <c r="U56" i="36"/>
  <c r="U112" i="36"/>
  <c r="V56" i="36"/>
  <c r="V112" i="36"/>
  <c r="W56" i="36"/>
  <c r="W112" i="36"/>
  <c r="C57" i="36"/>
  <c r="C113" i="36"/>
  <c r="D57" i="36"/>
  <c r="D113" i="36"/>
  <c r="E57" i="36"/>
  <c r="E113" i="36"/>
  <c r="F57" i="36"/>
  <c r="F113" i="36"/>
  <c r="G57" i="36"/>
  <c r="G113" i="36"/>
  <c r="H57" i="36"/>
  <c r="H113" i="36"/>
  <c r="I57" i="36"/>
  <c r="I113" i="36"/>
  <c r="J57" i="36"/>
  <c r="J113" i="36"/>
  <c r="K57" i="36"/>
  <c r="K113" i="36"/>
  <c r="L57" i="36"/>
  <c r="L113" i="36"/>
  <c r="M57" i="36"/>
  <c r="M113" i="36"/>
  <c r="N57" i="36"/>
  <c r="N113" i="36"/>
  <c r="O57" i="36"/>
  <c r="O113" i="36"/>
  <c r="P57" i="36"/>
  <c r="P113" i="36"/>
  <c r="Q57" i="36"/>
  <c r="Q113" i="36"/>
  <c r="R57" i="36"/>
  <c r="R113" i="36"/>
  <c r="S57" i="36"/>
  <c r="S113" i="36"/>
  <c r="T57" i="36"/>
  <c r="T113" i="36"/>
  <c r="U57" i="36"/>
  <c r="U113" i="36"/>
  <c r="V57" i="36"/>
  <c r="V113" i="36"/>
  <c r="W57" i="36"/>
  <c r="W113" i="36"/>
  <c r="W116" i="36"/>
  <c r="W88" i="36"/>
  <c r="W117" i="36"/>
  <c r="D93" i="36"/>
  <c r="E93" i="36"/>
  <c r="F93" i="36"/>
  <c r="G93" i="36"/>
  <c r="H93" i="36"/>
  <c r="I93" i="36"/>
  <c r="J93" i="36"/>
  <c r="K93" i="36"/>
  <c r="L93" i="36"/>
  <c r="M93" i="36"/>
  <c r="N93" i="36"/>
  <c r="O93" i="36"/>
  <c r="P93" i="36"/>
  <c r="Q93" i="36"/>
  <c r="R93" i="36"/>
  <c r="S93" i="36"/>
  <c r="T93" i="36"/>
  <c r="U93" i="36"/>
  <c r="V93" i="36"/>
  <c r="W93" i="36"/>
  <c r="W114" i="36"/>
  <c r="V114" i="36"/>
  <c r="U114" i="36"/>
  <c r="T114" i="36"/>
  <c r="S114" i="36"/>
  <c r="R114" i="36"/>
  <c r="Q114" i="36"/>
  <c r="P114" i="36"/>
  <c r="O114" i="36"/>
  <c r="N114" i="36"/>
  <c r="M114" i="36"/>
  <c r="L114" i="36"/>
  <c r="K114" i="36"/>
  <c r="J114" i="36"/>
  <c r="I114" i="36"/>
  <c r="H114" i="36"/>
  <c r="G114" i="36"/>
  <c r="F114" i="36"/>
  <c r="E114" i="36"/>
  <c r="D114" i="36"/>
  <c r="C114" i="36"/>
  <c r="B95" i="36"/>
  <c r="B96" i="36"/>
  <c r="B97" i="36"/>
  <c r="B98" i="36"/>
  <c r="B99" i="36"/>
  <c r="B100" i="36"/>
  <c r="B101" i="36"/>
  <c r="B102" i="36"/>
  <c r="B103" i="36"/>
  <c r="B104" i="36"/>
  <c r="B105" i="36"/>
  <c r="B106" i="36"/>
  <c r="B107" i="36"/>
  <c r="B108" i="36"/>
  <c r="B109" i="36"/>
  <c r="B110" i="36"/>
  <c r="B111" i="36"/>
  <c r="B112" i="36"/>
  <c r="B113" i="36"/>
  <c r="D65" i="36"/>
  <c r="E65" i="36"/>
  <c r="F65" i="36"/>
  <c r="G65" i="36"/>
  <c r="H65" i="36"/>
  <c r="I65" i="36"/>
  <c r="J65" i="36"/>
  <c r="K65" i="36"/>
  <c r="L65" i="36"/>
  <c r="M65" i="36"/>
  <c r="N65" i="36"/>
  <c r="O65" i="36"/>
  <c r="P65" i="36"/>
  <c r="Q65" i="36"/>
  <c r="R65" i="36"/>
  <c r="S65" i="36"/>
  <c r="T65" i="36"/>
  <c r="U65" i="36"/>
  <c r="V65" i="36"/>
  <c r="W65" i="36"/>
  <c r="W86" i="36"/>
  <c r="V86" i="36"/>
  <c r="U86" i="36"/>
  <c r="T86" i="36"/>
  <c r="S86" i="36"/>
  <c r="R86" i="36"/>
  <c r="Q86" i="36"/>
  <c r="P86" i="36"/>
  <c r="O86" i="36"/>
  <c r="N86" i="36"/>
  <c r="M86" i="36"/>
  <c r="L86" i="36"/>
  <c r="K86" i="36"/>
  <c r="J86" i="36"/>
  <c r="I86" i="36"/>
  <c r="H86" i="36"/>
  <c r="G86" i="36"/>
  <c r="F86" i="36"/>
  <c r="E86" i="36"/>
  <c r="D86" i="36"/>
  <c r="C86" i="36"/>
  <c r="B67" i="36"/>
  <c r="B68" i="36"/>
  <c r="B69" i="36"/>
  <c r="B70" i="36"/>
  <c r="B71" i="36"/>
  <c r="B72" i="36"/>
  <c r="B73" i="36"/>
  <c r="B74" i="36"/>
  <c r="B75" i="36"/>
  <c r="B76" i="36"/>
  <c r="B77" i="36"/>
  <c r="B78" i="36"/>
  <c r="B79" i="36"/>
  <c r="B80" i="36"/>
  <c r="B81" i="36"/>
  <c r="B82" i="36"/>
  <c r="B83" i="36"/>
  <c r="B84" i="36"/>
  <c r="B85" i="36"/>
  <c r="D37" i="36"/>
  <c r="E37" i="36"/>
  <c r="F37" i="36"/>
  <c r="G37" i="36"/>
  <c r="H37" i="36"/>
  <c r="I37" i="36"/>
  <c r="J37" i="36"/>
  <c r="K37" i="36"/>
  <c r="L37" i="36"/>
  <c r="M37" i="36"/>
  <c r="N37" i="36"/>
  <c r="O37" i="36"/>
  <c r="P37" i="36"/>
  <c r="Q37" i="36"/>
  <c r="R37" i="36"/>
  <c r="S37" i="36"/>
  <c r="T37" i="36"/>
  <c r="U37" i="36"/>
  <c r="V37" i="36"/>
  <c r="W37" i="36"/>
  <c r="W58" i="36"/>
  <c r="V58" i="36"/>
  <c r="U58" i="36"/>
  <c r="T58" i="36"/>
  <c r="S58" i="36"/>
  <c r="R58" i="36"/>
  <c r="Q58" i="36"/>
  <c r="P58" i="36"/>
  <c r="O58" i="36"/>
  <c r="N58" i="36"/>
  <c r="M58" i="36"/>
  <c r="L58" i="36"/>
  <c r="K58" i="36"/>
  <c r="J58" i="36"/>
  <c r="I58" i="36"/>
  <c r="H58" i="36"/>
  <c r="G58" i="36"/>
  <c r="F58" i="36"/>
  <c r="E58" i="36"/>
  <c r="D58" i="36"/>
  <c r="C58" i="36"/>
  <c r="B39" i="36"/>
  <c r="B40" i="36"/>
  <c r="B41" i="36"/>
  <c r="B42" i="36"/>
  <c r="B43" i="36"/>
  <c r="B44" i="36"/>
  <c r="B45" i="36"/>
  <c r="B46" i="36"/>
  <c r="B47" i="36"/>
  <c r="B48" i="36"/>
  <c r="B49" i="36"/>
  <c r="B50" i="36"/>
  <c r="B51" i="36"/>
  <c r="B52" i="36"/>
  <c r="B53" i="36"/>
  <c r="B54" i="36"/>
  <c r="B55" i="36"/>
  <c r="B56" i="36"/>
  <c r="B57" i="36"/>
  <c r="AC9" i="36"/>
  <c r="AD9" i="36"/>
  <c r="AE9" i="36"/>
  <c r="AF9" i="36"/>
  <c r="AG9" i="36"/>
  <c r="AH9" i="36"/>
  <c r="AI9" i="36"/>
  <c r="AJ9" i="36"/>
  <c r="AK9" i="36"/>
  <c r="AL9" i="36"/>
  <c r="AM9" i="36"/>
  <c r="AN9" i="36"/>
  <c r="AO9" i="36"/>
  <c r="AP9" i="36"/>
  <c r="AQ9" i="36"/>
  <c r="AR9" i="36"/>
  <c r="AS9" i="36"/>
  <c r="AT9" i="36"/>
  <c r="AU9" i="36"/>
  <c r="AV9" i="36"/>
  <c r="AV30" i="36"/>
  <c r="AU30" i="36"/>
  <c r="AT30" i="36"/>
  <c r="AS30" i="36"/>
  <c r="AR30" i="36"/>
  <c r="AQ30" i="36"/>
  <c r="AP30" i="36"/>
  <c r="AO30" i="36"/>
  <c r="AN30" i="36"/>
  <c r="AM30" i="36"/>
  <c r="AL30" i="36"/>
  <c r="AK30" i="36"/>
  <c r="AJ30" i="36"/>
  <c r="AI30" i="36"/>
  <c r="AH30" i="36"/>
  <c r="AG30" i="36"/>
  <c r="AF30" i="36"/>
  <c r="AE30" i="36"/>
  <c r="AD30" i="36"/>
  <c r="AC30" i="36"/>
  <c r="AB30" i="36"/>
  <c r="D9" i="36"/>
  <c r="E9" i="36"/>
  <c r="F9" i="36"/>
  <c r="G9" i="36"/>
  <c r="H9" i="36"/>
  <c r="I9" i="36"/>
  <c r="J9" i="36"/>
  <c r="K9" i="36"/>
  <c r="L9" i="36"/>
  <c r="M9" i="36"/>
  <c r="N9" i="36"/>
  <c r="O9" i="36"/>
  <c r="P9" i="36"/>
  <c r="Q9" i="36"/>
  <c r="R9" i="36"/>
  <c r="S9" i="36"/>
  <c r="T9" i="36"/>
  <c r="U9" i="36"/>
  <c r="V9" i="36"/>
  <c r="W9" i="36"/>
  <c r="W30" i="36"/>
  <c r="V30" i="36"/>
  <c r="U30" i="36"/>
  <c r="T30" i="36"/>
  <c r="S30" i="36"/>
  <c r="R30" i="36"/>
  <c r="Q30" i="36"/>
  <c r="P30" i="36"/>
  <c r="O30" i="36"/>
  <c r="N30" i="36"/>
  <c r="M30" i="36"/>
  <c r="L30" i="36"/>
  <c r="K30" i="36"/>
  <c r="J30" i="36"/>
  <c r="I30" i="36"/>
  <c r="H30" i="36"/>
  <c r="G30" i="36"/>
  <c r="F30" i="36"/>
  <c r="E30" i="36"/>
  <c r="D30" i="36"/>
  <c r="C30" i="36"/>
  <c r="AA11" i="36"/>
  <c r="AA12" i="36"/>
  <c r="AA13" i="36"/>
  <c r="AA14" i="36"/>
  <c r="AA15" i="36"/>
  <c r="AA16" i="36"/>
  <c r="AA17" i="36"/>
  <c r="AA18" i="36"/>
  <c r="AA19" i="36"/>
  <c r="AA20" i="36"/>
  <c r="AA21" i="36"/>
  <c r="AA22" i="36"/>
  <c r="AA23" i="36"/>
  <c r="AA24" i="36"/>
  <c r="AA25" i="36"/>
  <c r="AA26" i="36"/>
  <c r="AA27" i="36"/>
  <c r="AA28" i="36"/>
  <c r="AA29" i="36"/>
  <c r="B11" i="36"/>
  <c r="B12" i="36"/>
  <c r="B13" i="36"/>
  <c r="B14" i="36"/>
  <c r="B15" i="36"/>
  <c r="B16" i="36"/>
  <c r="B17" i="36"/>
  <c r="B18" i="36"/>
  <c r="B19" i="36"/>
  <c r="B20" i="36"/>
  <c r="B21" i="36"/>
  <c r="B22" i="36"/>
  <c r="B23" i="36"/>
  <c r="B24" i="36"/>
  <c r="B25" i="36"/>
  <c r="B26" i="36"/>
  <c r="B27" i="36"/>
  <c r="B28" i="36"/>
  <c r="B29" i="36"/>
  <c r="C3" i="36"/>
  <c r="C4" i="36"/>
  <c r="C2" i="36"/>
  <c r="C9" i="35"/>
  <c r="C4" i="35"/>
  <c r="C12" i="35"/>
  <c r="C10" i="35"/>
  <c r="C8" i="35"/>
  <c r="C6" i="35"/>
  <c r="C5" i="35"/>
  <c r="C3" i="35"/>
  <c r="P93" i="8"/>
  <c r="P94" i="8"/>
  <c r="P96" i="8"/>
  <c r="I104" i="8"/>
  <c r="I10" i="8"/>
  <c r="P50" i="1"/>
  <c r="P52" i="22"/>
  <c r="P45" i="1"/>
  <c r="P46" i="1"/>
  <c r="P47" i="1"/>
  <c r="P48" i="1"/>
  <c r="I9" i="8"/>
  <c r="P49" i="1"/>
  <c r="P21" i="1"/>
  <c r="P23" i="1"/>
  <c r="P38" i="22"/>
  <c r="P35" i="22"/>
  <c r="I20" i="4"/>
  <c r="P25" i="1"/>
  <c r="P26" i="1"/>
  <c r="P27" i="1"/>
  <c r="I34" i="4"/>
  <c r="P28" i="1"/>
  <c r="P29" i="22"/>
  <c r="D293" i="34"/>
  <c r="D272" i="34"/>
  <c r="D271" i="34"/>
  <c r="D260" i="34"/>
  <c r="D58" i="34"/>
  <c r="D9" i="34"/>
  <c r="D8" i="34"/>
  <c r="E32" i="15"/>
  <c r="D35" i="15"/>
  <c r="H35" i="15"/>
  <c r="G35" i="15"/>
  <c r="D36" i="15"/>
  <c r="H36" i="15"/>
  <c r="G36" i="15"/>
  <c r="D37" i="15"/>
  <c r="H37" i="15"/>
  <c r="G37" i="15"/>
  <c r="D38" i="15"/>
  <c r="H38" i="15"/>
  <c r="G38" i="15"/>
  <c r="D43" i="15"/>
  <c r="H43" i="15"/>
  <c r="G43" i="15"/>
  <c r="D46" i="15"/>
  <c r="H46" i="15"/>
  <c r="G46" i="15"/>
  <c r="D47" i="15"/>
  <c r="H47" i="15"/>
  <c r="G47" i="15"/>
  <c r="D48" i="15"/>
  <c r="H48" i="15"/>
  <c r="G48" i="15"/>
  <c r="D50" i="15"/>
  <c r="H50" i="15"/>
  <c r="G50" i="15"/>
  <c r="E10" i="5"/>
  <c r="D27" i="15"/>
  <c r="D51" i="15"/>
  <c r="H51" i="15"/>
  <c r="G51" i="15"/>
  <c r="D52" i="15"/>
  <c r="H52" i="15"/>
  <c r="G52" i="15"/>
  <c r="G54" i="15"/>
  <c r="D86" i="15"/>
  <c r="E86" i="15"/>
  <c r="F5" i="15"/>
  <c r="F86" i="15"/>
  <c r="G5" i="15"/>
  <c r="H59" i="15"/>
  <c r="G59" i="15"/>
  <c r="H60" i="15"/>
  <c r="G60" i="15"/>
  <c r="H61" i="15"/>
  <c r="G61" i="15"/>
  <c r="H62" i="15"/>
  <c r="G62" i="15"/>
  <c r="H67" i="15"/>
  <c r="G67" i="15"/>
  <c r="H70" i="15"/>
  <c r="G70" i="15"/>
  <c r="H71" i="15"/>
  <c r="G71" i="15"/>
  <c r="H72" i="15"/>
  <c r="G72" i="15"/>
  <c r="H74" i="15"/>
  <c r="G74" i="15"/>
  <c r="H75" i="15"/>
  <c r="G75" i="15"/>
  <c r="H76" i="15"/>
  <c r="G76" i="15"/>
  <c r="G78" i="15"/>
  <c r="G86" i="15"/>
  <c r="H5" i="15"/>
  <c r="E5" i="15"/>
  <c r="L4" i="18"/>
  <c r="J55" i="18"/>
  <c r="J27" i="18"/>
  <c r="G46" i="18"/>
  <c r="F10" i="18"/>
  <c r="F11" i="18"/>
  <c r="F12" i="18"/>
  <c r="D12" i="16"/>
  <c r="G4" i="16"/>
  <c r="H4" i="16"/>
  <c r="E4" i="16"/>
  <c r="F4" i="16"/>
  <c r="D78" i="15"/>
  <c r="G74" i="18"/>
  <c r="G73" i="18"/>
  <c r="G72" i="18"/>
  <c r="G71" i="18"/>
  <c r="I75" i="15"/>
  <c r="I72" i="15"/>
  <c r="I71" i="15"/>
  <c r="I70" i="15"/>
  <c r="I67" i="15"/>
  <c r="I51" i="15"/>
  <c r="I48" i="15"/>
  <c r="I46" i="15"/>
  <c r="I43" i="15"/>
  <c r="H26" i="15"/>
  <c r="G26" i="15"/>
  <c r="H27" i="15"/>
  <c r="I27" i="15"/>
  <c r="H28" i="15"/>
  <c r="G28" i="15"/>
  <c r="G47" i="18"/>
  <c r="G50" i="18"/>
  <c r="H12" i="15"/>
  <c r="H13" i="15"/>
  <c r="G13" i="15"/>
  <c r="H14" i="15"/>
  <c r="G14" i="15"/>
  <c r="H19" i="15"/>
  <c r="I19" i="15"/>
  <c r="H22" i="15"/>
  <c r="G22" i="15"/>
  <c r="H23" i="15"/>
  <c r="G23" i="15"/>
  <c r="H24" i="15"/>
  <c r="I24" i="15"/>
  <c r="H11" i="15"/>
  <c r="I11" i="15"/>
  <c r="D46" i="13"/>
  <c r="D63" i="13"/>
  <c r="D65" i="13"/>
  <c r="D68" i="13"/>
  <c r="E68" i="13"/>
  <c r="F68" i="13"/>
  <c r="G68" i="13"/>
  <c r="D52" i="13"/>
  <c r="D55" i="13"/>
  <c r="D33" i="13"/>
  <c r="D36" i="13"/>
  <c r="F69" i="13"/>
  <c r="D26" i="13"/>
  <c r="D69" i="13"/>
  <c r="D17" i="13"/>
  <c r="D56" i="13"/>
  <c r="E63" i="3"/>
  <c r="C18" i="14"/>
  <c r="C19" i="14"/>
  <c r="C21" i="14"/>
  <c r="M15" i="14"/>
  <c r="Q13" i="14"/>
  <c r="R13" i="14"/>
  <c r="N13" i="14"/>
  <c r="O13" i="14"/>
  <c r="P13" i="14"/>
  <c r="Q12" i="14"/>
  <c r="R12" i="14"/>
  <c r="N12" i="14"/>
  <c r="O12" i="14"/>
  <c r="P12" i="14"/>
  <c r="N11" i="14"/>
  <c r="O11" i="14"/>
  <c r="P11" i="14"/>
  <c r="Q11" i="14"/>
  <c r="R11" i="14"/>
  <c r="R15" i="14"/>
  <c r="E4" i="14"/>
  <c r="N10" i="14"/>
  <c r="O10" i="14"/>
  <c r="F13" i="18"/>
  <c r="G78" i="18"/>
  <c r="F8" i="18"/>
  <c r="I59" i="15"/>
  <c r="I78" i="15"/>
  <c r="H78" i="15"/>
  <c r="D44" i="15"/>
  <c r="G11" i="15"/>
  <c r="D40" i="15"/>
  <c r="D39" i="15"/>
  <c r="D45" i="15"/>
  <c r="D42" i="15"/>
  <c r="D41" i="15"/>
  <c r="H54" i="15"/>
  <c r="I47" i="15"/>
  <c r="I35" i="15"/>
  <c r="I54" i="15"/>
  <c r="G19" i="15"/>
  <c r="H30" i="15"/>
  <c r="I22" i="15"/>
  <c r="I23" i="15"/>
  <c r="G24" i="15"/>
  <c r="G12" i="15"/>
  <c r="D70" i="13"/>
  <c r="F56" i="13"/>
  <c r="E56" i="13"/>
  <c r="D57" i="13"/>
  <c r="G55" i="13"/>
  <c r="E55" i="13"/>
  <c r="F55" i="13"/>
  <c r="E69" i="13"/>
  <c r="O15" i="14"/>
  <c r="H4" i="14"/>
  <c r="P10" i="14"/>
  <c r="D80" i="15"/>
  <c r="I30" i="15"/>
  <c r="E57" i="13"/>
  <c r="D72" i="13"/>
  <c r="F5" i="13"/>
  <c r="G56" i="13"/>
  <c r="G57" i="13"/>
  <c r="F57" i="13"/>
  <c r="E70" i="13"/>
  <c r="P15" i="14"/>
  <c r="G4" i="14"/>
  <c r="Q10" i="14"/>
  <c r="Q15" i="14"/>
  <c r="F4" i="14"/>
  <c r="E72" i="13"/>
  <c r="G5" i="13"/>
  <c r="F70" i="13"/>
  <c r="F72" i="13"/>
  <c r="H5" i="13"/>
  <c r="G69" i="13"/>
  <c r="G70" i="13"/>
  <c r="G72" i="13"/>
  <c r="I5" i="13"/>
  <c r="E65" i="3"/>
  <c r="D65" i="3"/>
  <c r="F63" i="3"/>
  <c r="F65" i="3"/>
  <c r="I27" i="23"/>
  <c r="N23" i="1"/>
  <c r="L23" i="1"/>
  <c r="J23" i="1"/>
  <c r="D22" i="1"/>
  <c r="D23" i="1"/>
  <c r="D21" i="1"/>
  <c r="J21" i="1"/>
  <c r="H96" i="8"/>
  <c r="K96" i="8"/>
  <c r="N96" i="8"/>
  <c r="M94" i="8"/>
  <c r="M93" i="8"/>
  <c r="J94" i="8"/>
  <c r="J93" i="8"/>
  <c r="J92" i="8"/>
  <c r="G93" i="8"/>
  <c r="E94" i="8"/>
  <c r="E96" i="8"/>
  <c r="F94" i="8"/>
  <c r="G94" i="8"/>
  <c r="N75" i="8"/>
  <c r="P75" i="8"/>
  <c r="P77" i="8"/>
  <c r="P73" i="8"/>
  <c r="P72" i="8"/>
  <c r="P71" i="8"/>
  <c r="K74" i="8"/>
  <c r="M74" i="8"/>
  <c r="M77" i="8"/>
  <c r="M75" i="8"/>
  <c r="M73" i="8"/>
  <c r="M72" i="8"/>
  <c r="M71" i="8"/>
  <c r="E77" i="8"/>
  <c r="G77" i="8"/>
  <c r="G71" i="8"/>
  <c r="I71" i="8"/>
  <c r="G75" i="8"/>
  <c r="G74" i="8"/>
  <c r="G73" i="8"/>
  <c r="G72" i="8"/>
  <c r="I72" i="8"/>
  <c r="J72" i="8"/>
  <c r="J71" i="8"/>
  <c r="I77" i="8"/>
  <c r="J77" i="8"/>
  <c r="I75" i="8"/>
  <c r="J75" i="8"/>
  <c r="I74" i="8"/>
  <c r="J74" i="8"/>
  <c r="I73" i="8"/>
  <c r="J73" i="8"/>
  <c r="H79" i="8"/>
  <c r="M47" i="8"/>
  <c r="P47" i="8"/>
  <c r="O45" i="8"/>
  <c r="K49" i="8"/>
  <c r="N49" i="8"/>
  <c r="P49" i="8"/>
  <c r="K50" i="8"/>
  <c r="M50" i="8"/>
  <c r="K48" i="8"/>
  <c r="M48" i="8"/>
  <c r="L45" i="8"/>
  <c r="H52" i="8"/>
  <c r="J49" i="8"/>
  <c r="J50" i="8"/>
  <c r="J48" i="8"/>
  <c r="I45" i="8"/>
  <c r="J96" i="8"/>
  <c r="M96" i="8"/>
  <c r="H9" i="8"/>
  <c r="G96" i="8"/>
  <c r="K79" i="8"/>
  <c r="G63" i="3"/>
  <c r="G65" i="3"/>
  <c r="H104" i="8"/>
  <c r="M49" i="8"/>
  <c r="N74" i="8"/>
  <c r="N79" i="8"/>
  <c r="K52" i="8"/>
  <c r="J52" i="8"/>
  <c r="G7" i="8"/>
  <c r="E79" i="8"/>
  <c r="P74" i="8"/>
  <c r="P79" i="8"/>
  <c r="I8" i="8"/>
  <c r="M79" i="8"/>
  <c r="H8" i="8"/>
  <c r="J79" i="8"/>
  <c r="G8" i="8"/>
  <c r="M52" i="8"/>
  <c r="H7" i="8"/>
  <c r="G79" i="8"/>
  <c r="F8" i="8"/>
  <c r="N48" i="8"/>
  <c r="N50" i="8"/>
  <c r="P50" i="8"/>
  <c r="P48" i="8"/>
  <c r="P52" i="8"/>
  <c r="I7" i="8"/>
  <c r="F9" i="8"/>
  <c r="F104" i="8"/>
  <c r="G9" i="8"/>
  <c r="G104" i="8"/>
  <c r="N52" i="8"/>
  <c r="E52" i="8"/>
  <c r="G49" i="8"/>
  <c r="G50" i="8"/>
  <c r="G48" i="8"/>
  <c r="G52" i="8"/>
  <c r="F7" i="8"/>
  <c r="F45" i="8"/>
  <c r="H34" i="8"/>
  <c r="H6" i="8"/>
  <c r="G6" i="8"/>
  <c r="F6" i="8"/>
  <c r="I6" i="8"/>
  <c r="F20" i="8"/>
  <c r="I17" i="8"/>
  <c r="I20" i="8"/>
  <c r="H17" i="8"/>
  <c r="H20" i="8"/>
  <c r="G17" i="8"/>
  <c r="G20" i="8"/>
  <c r="F6" i="18"/>
  <c r="F16" i="18"/>
  <c r="F15" i="18"/>
  <c r="F4" i="18"/>
  <c r="F14" i="18"/>
  <c r="F7" i="18"/>
  <c r="H50" i="18"/>
  <c r="F19" i="18"/>
  <c r="H78" i="18"/>
  <c r="J22" i="1"/>
  <c r="L21" i="1"/>
  <c r="L22" i="1"/>
  <c r="N22" i="1"/>
  <c r="E28" i="3"/>
  <c r="E29" i="3"/>
  <c r="E37" i="3"/>
  <c r="F28" i="3"/>
  <c r="F29" i="3"/>
  <c r="F37" i="3"/>
  <c r="G28" i="3"/>
  <c r="G29" i="3"/>
  <c r="G37" i="3"/>
  <c r="D28" i="3"/>
  <c r="D29" i="3"/>
  <c r="D37" i="3"/>
  <c r="G24" i="3"/>
  <c r="G25" i="3"/>
  <c r="G36" i="3"/>
  <c r="F24" i="3"/>
  <c r="F25" i="3"/>
  <c r="F36" i="3"/>
  <c r="D25" i="3"/>
  <c r="D36" i="3"/>
  <c r="E25" i="3"/>
  <c r="E36" i="3"/>
  <c r="E19" i="3"/>
  <c r="E20" i="3"/>
  <c r="F19" i="3"/>
  <c r="F20" i="3"/>
  <c r="G19" i="3"/>
  <c r="G20" i="3"/>
  <c r="D19" i="3"/>
  <c r="D20" i="3"/>
  <c r="N21" i="1"/>
  <c r="G39" i="3"/>
  <c r="E39" i="3"/>
  <c r="D39" i="3"/>
  <c r="F39" i="3"/>
  <c r="H4" i="3"/>
  <c r="G45" i="3"/>
  <c r="G47" i="3"/>
  <c r="F45" i="3"/>
  <c r="F47" i="3"/>
  <c r="G4" i="3"/>
  <c r="E45" i="3"/>
  <c r="E47" i="3"/>
  <c r="F4" i="3"/>
  <c r="E4" i="3"/>
  <c r="D45" i="3"/>
  <c r="D47" i="3"/>
  <c r="H28" i="2"/>
  <c r="H30" i="2"/>
  <c r="H27" i="2"/>
  <c r="P17" i="1"/>
  <c r="N17" i="1"/>
  <c r="L17" i="1"/>
  <c r="J17" i="1"/>
  <c r="F49" i="31"/>
  <c r="G49" i="31"/>
  <c r="H49" i="31"/>
  <c r="I49" i="31"/>
  <c r="J49" i="31"/>
  <c r="K49" i="31"/>
  <c r="L49" i="31"/>
  <c r="M49" i="31"/>
  <c r="N49" i="31"/>
  <c r="O49" i="31"/>
  <c r="P49" i="31"/>
  <c r="Q49" i="31"/>
  <c r="R49" i="31"/>
  <c r="S49" i="31"/>
  <c r="T49" i="31"/>
  <c r="F50" i="31"/>
  <c r="G50" i="31"/>
  <c r="H50" i="31"/>
  <c r="I50" i="31"/>
  <c r="J50" i="31"/>
  <c r="K50" i="31"/>
  <c r="L50" i="31"/>
  <c r="M50" i="31"/>
  <c r="N50" i="31"/>
  <c r="O50" i="31"/>
  <c r="P50" i="31"/>
  <c r="Q50" i="31"/>
  <c r="R50" i="31"/>
  <c r="S50" i="31"/>
  <c r="T50" i="31"/>
  <c r="F51" i="31"/>
  <c r="G51" i="31"/>
  <c r="H51" i="31"/>
  <c r="I51" i="31"/>
  <c r="J51" i="31"/>
  <c r="K51" i="31"/>
  <c r="L51" i="31"/>
  <c r="M51" i="31"/>
  <c r="N51" i="31"/>
  <c r="O51" i="31"/>
  <c r="P51" i="31"/>
  <c r="Q51" i="31"/>
  <c r="R51" i="31"/>
  <c r="S51" i="31"/>
  <c r="T51" i="31"/>
  <c r="F52" i="31"/>
  <c r="G52" i="31"/>
  <c r="H52" i="31"/>
  <c r="I52" i="31"/>
  <c r="J52" i="31"/>
  <c r="K52" i="31"/>
  <c r="L52" i="31"/>
  <c r="M52" i="31"/>
  <c r="N52" i="31"/>
  <c r="O52" i="31"/>
  <c r="P52" i="31"/>
  <c r="Q52" i="31"/>
  <c r="R52" i="31"/>
  <c r="S52" i="31"/>
  <c r="T52" i="31"/>
  <c r="F53" i="31"/>
  <c r="G53" i="31"/>
  <c r="H53" i="31"/>
  <c r="I53" i="31"/>
  <c r="J53" i="31"/>
  <c r="K53" i="31"/>
  <c r="L53" i="31"/>
  <c r="M53" i="31"/>
  <c r="N53" i="31"/>
  <c r="O53" i="31"/>
  <c r="P53" i="31"/>
  <c r="Q53" i="31"/>
  <c r="R53" i="31"/>
  <c r="S53" i="31"/>
  <c r="T53" i="31"/>
  <c r="F54" i="31"/>
  <c r="G54" i="31"/>
  <c r="H54" i="31"/>
  <c r="I54" i="31"/>
  <c r="J54" i="31"/>
  <c r="K54" i="31"/>
  <c r="L54" i="31"/>
  <c r="M54" i="31"/>
  <c r="N54" i="31"/>
  <c r="O54" i="31"/>
  <c r="P54" i="31"/>
  <c r="Q54" i="31"/>
  <c r="R54" i="31"/>
  <c r="S54" i="31"/>
  <c r="T54" i="31"/>
  <c r="F55" i="31"/>
  <c r="G55" i="31"/>
  <c r="H55" i="31"/>
  <c r="I55" i="31"/>
  <c r="J55" i="31"/>
  <c r="K55" i="31"/>
  <c r="L55" i="31"/>
  <c r="M55" i="31"/>
  <c r="N55" i="31"/>
  <c r="O55" i="31"/>
  <c r="P55" i="31"/>
  <c r="Q55" i="31"/>
  <c r="R55" i="31"/>
  <c r="S55" i="31"/>
  <c r="T55" i="31"/>
  <c r="F56" i="31"/>
  <c r="G56" i="31"/>
  <c r="H56" i="31"/>
  <c r="I56" i="31"/>
  <c r="J56" i="31"/>
  <c r="K56" i="31"/>
  <c r="L56" i="31"/>
  <c r="M56" i="31"/>
  <c r="N56" i="31"/>
  <c r="O56" i="31"/>
  <c r="P56" i="31"/>
  <c r="Q56" i="31"/>
  <c r="R56" i="31"/>
  <c r="S56" i="31"/>
  <c r="T56" i="31"/>
  <c r="F57" i="31"/>
  <c r="G57" i="31"/>
  <c r="H57" i="31"/>
  <c r="I57" i="31"/>
  <c r="J57" i="31"/>
  <c r="K57" i="31"/>
  <c r="L57" i="31"/>
  <c r="M57" i="31"/>
  <c r="N57" i="31"/>
  <c r="O57" i="31"/>
  <c r="P57" i="31"/>
  <c r="Q57" i="31"/>
  <c r="R57" i="31"/>
  <c r="S57" i="31"/>
  <c r="T57" i="31"/>
  <c r="F58" i="31"/>
  <c r="G58" i="31"/>
  <c r="H58" i="31"/>
  <c r="I58" i="31"/>
  <c r="J58" i="31"/>
  <c r="K58" i="31"/>
  <c r="L58" i="31"/>
  <c r="M58" i="31"/>
  <c r="N58" i="31"/>
  <c r="O58" i="31"/>
  <c r="P58" i="31"/>
  <c r="Q58" i="31"/>
  <c r="R58" i="31"/>
  <c r="S58" i="31"/>
  <c r="T58" i="31"/>
  <c r="F59" i="31"/>
  <c r="G59" i="31"/>
  <c r="H59" i="31"/>
  <c r="I59" i="31"/>
  <c r="J59" i="31"/>
  <c r="K59" i="31"/>
  <c r="L59" i="31"/>
  <c r="M59" i="31"/>
  <c r="N59" i="31"/>
  <c r="O59" i="31"/>
  <c r="P59" i="31"/>
  <c r="Q59" i="31"/>
  <c r="R59" i="31"/>
  <c r="S59" i="31"/>
  <c r="T59" i="31"/>
  <c r="F60" i="31"/>
  <c r="G60" i="31"/>
  <c r="H60" i="31"/>
  <c r="I60" i="31"/>
  <c r="J60" i="31"/>
  <c r="K60" i="31"/>
  <c r="L60" i="31"/>
  <c r="M60" i="31"/>
  <c r="N60" i="31"/>
  <c r="O60" i="31"/>
  <c r="P60" i="31"/>
  <c r="Q60" i="31"/>
  <c r="R60" i="31"/>
  <c r="S60" i="31"/>
  <c r="T60" i="31"/>
  <c r="F61" i="31"/>
  <c r="G61" i="31"/>
  <c r="H61" i="31"/>
  <c r="I61" i="31"/>
  <c r="J61" i="31"/>
  <c r="K61" i="31"/>
  <c r="L61" i="31"/>
  <c r="M61" i="31"/>
  <c r="N61" i="31"/>
  <c r="O61" i="31"/>
  <c r="P61" i="31"/>
  <c r="Q61" i="31"/>
  <c r="R61" i="31"/>
  <c r="S61" i="31"/>
  <c r="T61" i="31"/>
  <c r="F62" i="31"/>
  <c r="G62" i="31"/>
  <c r="H62" i="31"/>
  <c r="I62" i="31"/>
  <c r="J62" i="31"/>
  <c r="K62" i="31"/>
  <c r="L62" i="31"/>
  <c r="M62" i="31"/>
  <c r="N62" i="31"/>
  <c r="O62" i="31"/>
  <c r="P62" i="31"/>
  <c r="Q62" i="31"/>
  <c r="R62" i="31"/>
  <c r="S62" i="31"/>
  <c r="T62" i="31"/>
  <c r="F63" i="31"/>
  <c r="G63" i="31"/>
  <c r="H63" i="31"/>
  <c r="I63" i="31"/>
  <c r="J63" i="31"/>
  <c r="K63" i="31"/>
  <c r="L63" i="31"/>
  <c r="M63" i="31"/>
  <c r="N63" i="31"/>
  <c r="O63" i="31"/>
  <c r="P63" i="31"/>
  <c r="Q63" i="31"/>
  <c r="R63" i="31"/>
  <c r="S63" i="31"/>
  <c r="T63" i="31"/>
  <c r="F64" i="31"/>
  <c r="G64" i="31"/>
  <c r="H64" i="31"/>
  <c r="I64" i="31"/>
  <c r="J64" i="31"/>
  <c r="K64" i="31"/>
  <c r="L64" i="31"/>
  <c r="M64" i="31"/>
  <c r="N64" i="31"/>
  <c r="O64" i="31"/>
  <c r="P64" i="31"/>
  <c r="Q64" i="31"/>
  <c r="R64" i="31"/>
  <c r="S64" i="31"/>
  <c r="T64" i="31"/>
  <c r="F65" i="31"/>
  <c r="G65" i="31"/>
  <c r="H65" i="31"/>
  <c r="I65" i="31"/>
  <c r="J65" i="31"/>
  <c r="K65" i="31"/>
  <c r="L65" i="31"/>
  <c r="M65" i="31"/>
  <c r="N65" i="31"/>
  <c r="O65" i="31"/>
  <c r="P65" i="31"/>
  <c r="Q65" i="31"/>
  <c r="R65" i="31"/>
  <c r="S65" i="31"/>
  <c r="T65" i="31"/>
  <c r="F66" i="31"/>
  <c r="G66" i="31"/>
  <c r="H66" i="31"/>
  <c r="I66" i="31"/>
  <c r="J66" i="31"/>
  <c r="K66" i="31"/>
  <c r="L66" i="31"/>
  <c r="M66" i="31"/>
  <c r="N66" i="31"/>
  <c r="O66" i="31"/>
  <c r="P66" i="31"/>
  <c r="Q66" i="31"/>
  <c r="R66" i="31"/>
  <c r="S66" i="31"/>
  <c r="T66" i="31"/>
  <c r="F67" i="31"/>
  <c r="G67" i="31"/>
  <c r="H67" i="31"/>
  <c r="I67" i="31"/>
  <c r="J67" i="31"/>
  <c r="K67" i="31"/>
  <c r="L67" i="31"/>
  <c r="M67" i="31"/>
  <c r="N67" i="31"/>
  <c r="O67" i="31"/>
  <c r="P67" i="31"/>
  <c r="Q67" i="31"/>
  <c r="R67" i="31"/>
  <c r="S67" i="31"/>
  <c r="T67" i="31"/>
  <c r="F68" i="31"/>
  <c r="G68" i="31"/>
  <c r="H68" i="31"/>
  <c r="I68" i="31"/>
  <c r="J68" i="31"/>
  <c r="K68" i="31"/>
  <c r="L68" i="31"/>
  <c r="M68" i="31"/>
  <c r="N68" i="31"/>
  <c r="O68" i="31"/>
  <c r="P68" i="31"/>
  <c r="Q68" i="31"/>
  <c r="R68" i="31"/>
  <c r="S68" i="31"/>
  <c r="T68" i="31"/>
  <c r="E50" i="31"/>
  <c r="E51" i="31"/>
  <c r="E52" i="31"/>
  <c r="E53" i="31"/>
  <c r="E54" i="31"/>
  <c r="E55" i="31"/>
  <c r="E56" i="31"/>
  <c r="E57" i="31"/>
  <c r="E58" i="31"/>
  <c r="E59" i="31"/>
  <c r="E60" i="31"/>
  <c r="E61" i="31"/>
  <c r="E62" i="31"/>
  <c r="E63" i="31"/>
  <c r="E64" i="31"/>
  <c r="E65" i="31"/>
  <c r="E66" i="31"/>
  <c r="E67" i="31"/>
  <c r="E68" i="31"/>
  <c r="E49" i="31"/>
  <c r="F97" i="31"/>
  <c r="G97" i="31"/>
  <c r="H97" i="31"/>
  <c r="I97" i="31"/>
  <c r="J97" i="31"/>
  <c r="K97" i="31"/>
  <c r="L97" i="31"/>
  <c r="M97" i="31"/>
  <c r="N97" i="31"/>
  <c r="O97" i="31"/>
  <c r="P97" i="31"/>
  <c r="Q97" i="31"/>
  <c r="R97" i="31"/>
  <c r="S97" i="31"/>
  <c r="T97" i="31"/>
  <c r="F98" i="31"/>
  <c r="G98" i="31"/>
  <c r="H98" i="31"/>
  <c r="I98" i="31"/>
  <c r="J98" i="31"/>
  <c r="K98" i="31"/>
  <c r="L98" i="31"/>
  <c r="M98" i="31"/>
  <c r="N98" i="31"/>
  <c r="O98" i="31"/>
  <c r="P98" i="31"/>
  <c r="Q98" i="31"/>
  <c r="R98" i="31"/>
  <c r="S98" i="31"/>
  <c r="T98" i="31"/>
  <c r="F99" i="31"/>
  <c r="G99" i="31"/>
  <c r="H99" i="31"/>
  <c r="I99" i="31"/>
  <c r="J99" i="31"/>
  <c r="K99" i="31"/>
  <c r="L99" i="31"/>
  <c r="M99" i="31"/>
  <c r="N99" i="31"/>
  <c r="O99" i="31"/>
  <c r="P99" i="31"/>
  <c r="Q99" i="31"/>
  <c r="R99" i="31"/>
  <c r="S99" i="31"/>
  <c r="T99" i="31"/>
  <c r="F100" i="31"/>
  <c r="G100" i="31"/>
  <c r="H100" i="31"/>
  <c r="I100" i="31"/>
  <c r="J100" i="31"/>
  <c r="K100" i="31"/>
  <c r="L100" i="31"/>
  <c r="M100" i="31"/>
  <c r="N100" i="31"/>
  <c r="O100" i="31"/>
  <c r="P100" i="31"/>
  <c r="Q100" i="31"/>
  <c r="R100" i="31"/>
  <c r="S100" i="31"/>
  <c r="T100" i="31"/>
  <c r="F101" i="31"/>
  <c r="G101" i="31"/>
  <c r="H101" i="31"/>
  <c r="I101" i="31"/>
  <c r="J101" i="31"/>
  <c r="K101" i="31"/>
  <c r="L101" i="31"/>
  <c r="M101" i="31"/>
  <c r="N101" i="31"/>
  <c r="O101" i="31"/>
  <c r="P101" i="31"/>
  <c r="Q101" i="31"/>
  <c r="R101" i="31"/>
  <c r="S101" i="31"/>
  <c r="T101" i="31"/>
  <c r="F102" i="31"/>
  <c r="G102" i="31"/>
  <c r="H102" i="31"/>
  <c r="I102" i="31"/>
  <c r="J102" i="31"/>
  <c r="K102" i="31"/>
  <c r="L102" i="31"/>
  <c r="M102" i="31"/>
  <c r="N102" i="31"/>
  <c r="O102" i="31"/>
  <c r="P102" i="31"/>
  <c r="Q102" i="31"/>
  <c r="R102" i="31"/>
  <c r="S102" i="31"/>
  <c r="T102" i="31"/>
  <c r="F103" i="31"/>
  <c r="G103" i="31"/>
  <c r="H103" i="31"/>
  <c r="I103" i="31"/>
  <c r="J103" i="31"/>
  <c r="K103" i="31"/>
  <c r="L103" i="31"/>
  <c r="M103" i="31"/>
  <c r="N103" i="31"/>
  <c r="O103" i="31"/>
  <c r="P103" i="31"/>
  <c r="Q103" i="31"/>
  <c r="R103" i="31"/>
  <c r="S103" i="31"/>
  <c r="T103" i="31"/>
  <c r="F104" i="31"/>
  <c r="G104" i="31"/>
  <c r="H104" i="31"/>
  <c r="I104" i="31"/>
  <c r="J104" i="31"/>
  <c r="K104" i="31"/>
  <c r="L104" i="31"/>
  <c r="M104" i="31"/>
  <c r="N104" i="31"/>
  <c r="O104" i="31"/>
  <c r="P104" i="31"/>
  <c r="Q104" i="31"/>
  <c r="R104" i="31"/>
  <c r="S104" i="31"/>
  <c r="T104" i="31"/>
  <c r="F105" i="31"/>
  <c r="G105" i="31"/>
  <c r="H105" i="31"/>
  <c r="I105" i="31"/>
  <c r="J105" i="31"/>
  <c r="K105" i="31"/>
  <c r="L105" i="31"/>
  <c r="M105" i="31"/>
  <c r="N105" i="31"/>
  <c r="O105" i="31"/>
  <c r="P105" i="31"/>
  <c r="Q105" i="31"/>
  <c r="R105" i="31"/>
  <c r="S105" i="31"/>
  <c r="T105" i="31"/>
  <c r="F106" i="31"/>
  <c r="G106" i="31"/>
  <c r="H106" i="31"/>
  <c r="I106" i="31"/>
  <c r="J106" i="31"/>
  <c r="K106" i="31"/>
  <c r="L106" i="31"/>
  <c r="M106" i="31"/>
  <c r="N106" i="31"/>
  <c r="O106" i="31"/>
  <c r="P106" i="31"/>
  <c r="Q106" i="31"/>
  <c r="R106" i="31"/>
  <c r="S106" i="31"/>
  <c r="T106" i="31"/>
  <c r="F107" i="31"/>
  <c r="G107" i="31"/>
  <c r="H107" i="31"/>
  <c r="I107" i="31"/>
  <c r="J107" i="31"/>
  <c r="K107" i="31"/>
  <c r="L107" i="31"/>
  <c r="M107" i="31"/>
  <c r="N107" i="31"/>
  <c r="O107" i="31"/>
  <c r="P107" i="31"/>
  <c r="Q107" i="31"/>
  <c r="R107" i="31"/>
  <c r="S107" i="31"/>
  <c r="T107" i="31"/>
  <c r="F108" i="31"/>
  <c r="G108" i="31"/>
  <c r="H108" i="31"/>
  <c r="I108" i="31"/>
  <c r="J108" i="31"/>
  <c r="K108" i="31"/>
  <c r="L108" i="31"/>
  <c r="M108" i="31"/>
  <c r="N108" i="31"/>
  <c r="O108" i="31"/>
  <c r="P108" i="31"/>
  <c r="Q108" i="31"/>
  <c r="R108" i="31"/>
  <c r="S108" i="31"/>
  <c r="T108" i="31"/>
  <c r="F109" i="31"/>
  <c r="G109" i="31"/>
  <c r="H109" i="31"/>
  <c r="I109" i="31"/>
  <c r="J109" i="31"/>
  <c r="K109" i="31"/>
  <c r="L109" i="31"/>
  <c r="M109" i="31"/>
  <c r="N109" i="31"/>
  <c r="O109" i="31"/>
  <c r="P109" i="31"/>
  <c r="Q109" i="31"/>
  <c r="R109" i="31"/>
  <c r="S109" i="31"/>
  <c r="T109" i="31"/>
  <c r="F110" i="31"/>
  <c r="G110" i="31"/>
  <c r="H110" i="31"/>
  <c r="I110" i="31"/>
  <c r="J110" i="31"/>
  <c r="K110" i="31"/>
  <c r="L110" i="31"/>
  <c r="M110" i="31"/>
  <c r="N110" i="31"/>
  <c r="O110" i="31"/>
  <c r="P110" i="31"/>
  <c r="Q110" i="31"/>
  <c r="R110" i="31"/>
  <c r="S110" i="31"/>
  <c r="T110" i="31"/>
  <c r="F111" i="31"/>
  <c r="G111" i="31"/>
  <c r="H111" i="31"/>
  <c r="I111" i="31"/>
  <c r="J111" i="31"/>
  <c r="K111" i="31"/>
  <c r="L111" i="31"/>
  <c r="M111" i="31"/>
  <c r="N111" i="31"/>
  <c r="O111" i="31"/>
  <c r="P111" i="31"/>
  <c r="Q111" i="31"/>
  <c r="R111" i="31"/>
  <c r="S111" i="31"/>
  <c r="T111" i="31"/>
  <c r="F112" i="31"/>
  <c r="G112" i="31"/>
  <c r="H112" i="31"/>
  <c r="I112" i="31"/>
  <c r="J112" i="31"/>
  <c r="K112" i="31"/>
  <c r="L112" i="31"/>
  <c r="M112" i="31"/>
  <c r="N112" i="31"/>
  <c r="O112" i="31"/>
  <c r="P112" i="31"/>
  <c r="Q112" i="31"/>
  <c r="R112" i="31"/>
  <c r="S112" i="31"/>
  <c r="T112" i="31"/>
  <c r="F113" i="31"/>
  <c r="G113" i="31"/>
  <c r="H113" i="31"/>
  <c r="I113" i="31"/>
  <c r="J113" i="31"/>
  <c r="K113" i="31"/>
  <c r="L113" i="31"/>
  <c r="M113" i="31"/>
  <c r="N113" i="31"/>
  <c r="O113" i="31"/>
  <c r="P113" i="31"/>
  <c r="Q113" i="31"/>
  <c r="R113" i="31"/>
  <c r="S113" i="31"/>
  <c r="T113" i="31"/>
  <c r="F114" i="31"/>
  <c r="G114" i="31"/>
  <c r="H114" i="31"/>
  <c r="I114" i="31"/>
  <c r="J114" i="31"/>
  <c r="K114" i="31"/>
  <c r="L114" i="31"/>
  <c r="M114" i="31"/>
  <c r="N114" i="31"/>
  <c r="O114" i="31"/>
  <c r="P114" i="31"/>
  <c r="Q114" i="31"/>
  <c r="R114" i="31"/>
  <c r="S114" i="31"/>
  <c r="T114" i="31"/>
  <c r="F115" i="31"/>
  <c r="G115" i="31"/>
  <c r="H115" i="31"/>
  <c r="I115" i="31"/>
  <c r="J115" i="31"/>
  <c r="K115" i="31"/>
  <c r="L115" i="31"/>
  <c r="M115" i="31"/>
  <c r="N115" i="31"/>
  <c r="O115" i="31"/>
  <c r="P115" i="31"/>
  <c r="Q115" i="31"/>
  <c r="R115" i="31"/>
  <c r="S115" i="31"/>
  <c r="T115" i="31"/>
  <c r="F116" i="31"/>
  <c r="G116" i="31"/>
  <c r="H116" i="31"/>
  <c r="I116" i="31"/>
  <c r="J116" i="31"/>
  <c r="K116" i="31"/>
  <c r="L116" i="31"/>
  <c r="M116" i="31"/>
  <c r="N116" i="31"/>
  <c r="O116" i="31"/>
  <c r="P116" i="31"/>
  <c r="Q116" i="31"/>
  <c r="R116" i="31"/>
  <c r="S116" i="31"/>
  <c r="T116" i="31"/>
  <c r="E98" i="31"/>
  <c r="E99" i="31"/>
  <c r="E100" i="31"/>
  <c r="E101" i="31"/>
  <c r="E102" i="31"/>
  <c r="E103" i="31"/>
  <c r="E104" i="31"/>
  <c r="E105" i="31"/>
  <c r="E106" i="31"/>
  <c r="E107" i="31"/>
  <c r="E108" i="31"/>
  <c r="E109" i="31"/>
  <c r="E110" i="31"/>
  <c r="E111" i="31"/>
  <c r="E112" i="31"/>
  <c r="E113" i="31"/>
  <c r="E114" i="31"/>
  <c r="E115" i="31"/>
  <c r="E116" i="31"/>
  <c r="E97" i="31"/>
  <c r="U25" i="31"/>
  <c r="U26" i="31"/>
  <c r="U27" i="31"/>
  <c r="U28" i="31"/>
  <c r="U29" i="31"/>
  <c r="U30" i="31"/>
  <c r="U31" i="31"/>
  <c r="U32" i="31"/>
  <c r="U33" i="31"/>
  <c r="U34" i="31"/>
  <c r="U35" i="31"/>
  <c r="U36" i="31"/>
  <c r="U37" i="31"/>
  <c r="U38" i="31"/>
  <c r="U39" i="31"/>
  <c r="U40" i="31"/>
  <c r="U41" i="31"/>
  <c r="U42" i="31"/>
  <c r="U43" i="31"/>
  <c r="U24" i="31"/>
  <c r="F44" i="31"/>
  <c r="G44" i="31"/>
  <c r="H44" i="31"/>
  <c r="I44" i="31"/>
  <c r="E44" i="31"/>
  <c r="J44" i="31"/>
  <c r="K44" i="31"/>
  <c r="L44" i="31"/>
  <c r="M44" i="31"/>
  <c r="N44" i="31"/>
  <c r="O44" i="31"/>
  <c r="P44" i="31"/>
  <c r="Q44" i="31"/>
  <c r="R44" i="31"/>
  <c r="S44" i="31"/>
  <c r="T44" i="31"/>
  <c r="S7" i="31"/>
  <c r="D4" i="4"/>
  <c r="S8" i="31"/>
  <c r="S6" i="31"/>
  <c r="M69" i="31"/>
  <c r="U50" i="31"/>
  <c r="S18" i="31"/>
  <c r="U61" i="31"/>
  <c r="U53" i="31"/>
  <c r="U68" i="31"/>
  <c r="U66" i="31"/>
  <c r="U60" i="31"/>
  <c r="U58" i="31"/>
  <c r="T69" i="31"/>
  <c r="L69" i="31"/>
  <c r="Q69" i="31"/>
  <c r="I69" i="31"/>
  <c r="P69" i="31"/>
  <c r="H69" i="31"/>
  <c r="O69" i="31"/>
  <c r="G69" i="31"/>
  <c r="N69" i="31"/>
  <c r="F69" i="31"/>
  <c r="U52" i="31"/>
  <c r="U62" i="31"/>
  <c r="U54" i="31"/>
  <c r="S69" i="31"/>
  <c r="K69" i="31"/>
  <c r="R69" i="31"/>
  <c r="J69" i="31"/>
  <c r="U67" i="31"/>
  <c r="U59" i="31"/>
  <c r="U51" i="31"/>
  <c r="U57" i="31"/>
  <c r="U64" i="31"/>
  <c r="U63" i="31"/>
  <c r="U55" i="31"/>
  <c r="U65" i="31"/>
  <c r="U56" i="31"/>
  <c r="E69" i="31"/>
  <c r="U49" i="31"/>
  <c r="G15" i="12"/>
  <c r="F15" i="12"/>
  <c r="F11" i="12"/>
  <c r="G11" i="12"/>
  <c r="F12" i="12"/>
  <c r="G12" i="12"/>
  <c r="F13" i="12"/>
  <c r="G13" i="12"/>
  <c r="F14" i="12"/>
  <c r="G14" i="12"/>
  <c r="G10" i="12"/>
  <c r="F10" i="12"/>
  <c r="H51" i="2"/>
  <c r="H52" i="2"/>
  <c r="G52" i="2"/>
  <c r="G51" i="2"/>
  <c r="F48" i="2"/>
  <c r="H43" i="2"/>
  <c r="G43" i="2"/>
  <c r="H42" i="2"/>
  <c r="G42" i="2"/>
  <c r="H41" i="2"/>
  <c r="G41" i="2"/>
  <c r="H40" i="2"/>
  <c r="G40" i="2"/>
  <c r="H39" i="2"/>
  <c r="G39" i="2"/>
  <c r="H33" i="2"/>
  <c r="G33" i="2"/>
  <c r="H32" i="2"/>
  <c r="G32" i="2"/>
  <c r="H31" i="2"/>
  <c r="G31" i="2"/>
  <c r="G30" i="2"/>
  <c r="H29" i="2"/>
  <c r="G29" i="2"/>
  <c r="G28" i="2"/>
  <c r="G27" i="2"/>
  <c r="H26" i="2"/>
  <c r="H25" i="2"/>
  <c r="G26" i="2"/>
  <c r="G25" i="2"/>
  <c r="H24" i="2"/>
  <c r="G24" i="2"/>
  <c r="F35" i="2"/>
  <c r="H18" i="2"/>
  <c r="G18" i="2"/>
  <c r="G17" i="2"/>
  <c r="H17" i="2"/>
  <c r="H16" i="2"/>
  <c r="G16" i="2"/>
  <c r="H15" i="2"/>
  <c r="G15" i="2"/>
  <c r="G48" i="2"/>
  <c r="H48" i="2"/>
  <c r="H35" i="2"/>
  <c r="G35" i="2"/>
  <c r="P62" i="1"/>
  <c r="N62" i="1"/>
  <c r="L62" i="1"/>
  <c r="J62" i="1"/>
  <c r="P61" i="1"/>
  <c r="P60" i="1"/>
  <c r="N60" i="1"/>
  <c r="L60" i="1"/>
  <c r="J60" i="1"/>
  <c r="P59" i="1"/>
  <c r="N59" i="1"/>
  <c r="L59" i="1"/>
  <c r="J59" i="1"/>
  <c r="D46" i="1"/>
  <c r="D47" i="1"/>
  <c r="D48" i="1"/>
  <c r="D49" i="1"/>
  <c r="D50" i="1"/>
  <c r="D45" i="1"/>
  <c r="D31" i="1"/>
  <c r="D32" i="1"/>
  <c r="D33" i="1"/>
  <c r="D34" i="1"/>
  <c r="D35" i="1"/>
  <c r="D36" i="1"/>
  <c r="D37" i="1"/>
  <c r="D38" i="1"/>
  <c r="D39" i="1"/>
  <c r="D40" i="1"/>
  <c r="D41" i="1"/>
  <c r="D42" i="1"/>
  <c r="D30" i="1"/>
  <c r="I5" i="8"/>
  <c r="H5" i="8"/>
  <c r="G5" i="8"/>
  <c r="F5" i="8"/>
  <c r="N47" i="1"/>
  <c r="L47" i="1"/>
  <c r="J47" i="1"/>
  <c r="N46" i="1"/>
  <c r="L46" i="1"/>
  <c r="J46" i="1"/>
  <c r="N48" i="1"/>
  <c r="L48" i="1"/>
  <c r="J48" i="1"/>
  <c r="N49" i="1"/>
  <c r="L49" i="1"/>
  <c r="J49" i="1"/>
  <c r="L6" i="18"/>
  <c r="L9" i="18"/>
  <c r="L10" i="18"/>
  <c r="L11" i="18"/>
  <c r="L14" i="18"/>
  <c r="L8" i="18"/>
  <c r="L15" i="18"/>
  <c r="I32" i="23"/>
  <c r="L7" i="18"/>
  <c r="L12" i="18"/>
  <c r="L45" i="1"/>
  <c r="N45" i="1"/>
  <c r="N1" i="22"/>
  <c r="N47" i="22"/>
  <c r="J45" i="1"/>
  <c r="P25" i="22"/>
  <c r="P24" i="22"/>
  <c r="P23" i="22"/>
  <c r="P19" i="22"/>
  <c r="P48" i="22"/>
  <c r="P50" i="22"/>
  <c r="P49" i="22"/>
  <c r="J1" i="22"/>
  <c r="J48" i="22"/>
  <c r="J47" i="22"/>
  <c r="L1" i="22"/>
  <c r="L47" i="22"/>
  <c r="P51" i="22"/>
  <c r="P47" i="22"/>
  <c r="J50" i="22"/>
  <c r="I41" i="1"/>
  <c r="I43" i="23"/>
  <c r="I43" i="22"/>
  <c r="I34" i="1"/>
  <c r="I36" i="23"/>
  <c r="I42" i="23"/>
  <c r="I40" i="1"/>
  <c r="I42" i="22"/>
  <c r="I36" i="1"/>
  <c r="I38" i="23"/>
  <c r="I40" i="23"/>
  <c r="I38" i="1"/>
  <c r="I35" i="1"/>
  <c r="I37" i="23"/>
  <c r="I37" i="1"/>
  <c r="I39" i="23"/>
  <c r="I33" i="1"/>
  <c r="I35" i="23"/>
  <c r="I34" i="23"/>
  <c r="I32" i="1"/>
  <c r="L1" i="23"/>
  <c r="N1" i="23"/>
  <c r="P1" i="23"/>
  <c r="J49" i="22"/>
  <c r="N50" i="22"/>
  <c r="J1" i="23"/>
  <c r="N48" i="22"/>
  <c r="N49" i="22"/>
  <c r="L25" i="22"/>
  <c r="L23" i="22"/>
  <c r="L24" i="22"/>
  <c r="L19" i="22"/>
  <c r="L49" i="22"/>
  <c r="L48" i="22"/>
  <c r="L50" i="22"/>
  <c r="N25" i="22"/>
  <c r="N24" i="22"/>
  <c r="N23" i="22"/>
  <c r="N19" i="22"/>
  <c r="N51" i="22"/>
  <c r="J23" i="22"/>
  <c r="J25" i="22"/>
  <c r="J24" i="22"/>
  <c r="J19" i="22"/>
  <c r="J51" i="22"/>
  <c r="L51" i="22"/>
  <c r="L13" i="18"/>
  <c r="L5" i="18"/>
  <c r="I33" i="23"/>
  <c r="I31" i="1"/>
  <c r="I41" i="23"/>
  <c r="I39" i="1"/>
  <c r="L16" i="18"/>
  <c r="D26" i="1"/>
  <c r="D27" i="1"/>
  <c r="D25" i="1"/>
  <c r="D20" i="1"/>
  <c r="D19" i="1"/>
  <c r="D14" i="1"/>
  <c r="D15" i="1"/>
  <c r="D16" i="1"/>
  <c r="D17" i="1"/>
  <c r="D13" i="1"/>
  <c r="I42" i="1"/>
  <c r="I44" i="23"/>
  <c r="I31" i="23"/>
  <c r="I44" i="22"/>
  <c r="H7" i="3"/>
  <c r="G7" i="3"/>
  <c r="F7" i="3"/>
  <c r="E7" i="3"/>
  <c r="F6" i="3"/>
  <c r="L15" i="1"/>
  <c r="G6" i="3"/>
  <c r="N15" i="1"/>
  <c r="H6" i="3"/>
  <c r="P15" i="1"/>
  <c r="E6" i="3"/>
  <c r="J15" i="1"/>
  <c r="P13" i="1"/>
  <c r="N13" i="1"/>
  <c r="L13" i="1"/>
  <c r="J13" i="1"/>
  <c r="L17" i="22"/>
  <c r="J15" i="22"/>
  <c r="L15" i="22"/>
  <c r="N15" i="22"/>
  <c r="P17" i="22"/>
  <c r="J17" i="22"/>
  <c r="N17" i="22"/>
  <c r="P16" i="1"/>
  <c r="N16" i="1"/>
  <c r="L16" i="1"/>
  <c r="J16" i="1"/>
  <c r="G123" i="31"/>
  <c r="G17" i="12"/>
  <c r="J18" i="22"/>
  <c r="L18" i="22"/>
  <c r="N18" i="22"/>
  <c r="G7" i="2"/>
  <c r="N8" i="1"/>
  <c r="H7" i="2"/>
  <c r="P8" i="1"/>
  <c r="J42" i="1"/>
  <c r="J32" i="1"/>
  <c r="J33" i="1"/>
  <c r="J35" i="1"/>
  <c r="J36" i="1"/>
  <c r="J40" i="1"/>
  <c r="J41" i="1"/>
  <c r="J34" i="1"/>
  <c r="J38" i="1"/>
  <c r="P10" i="22"/>
  <c r="N10" i="22"/>
  <c r="J42" i="22"/>
  <c r="J38" i="22"/>
  <c r="J37" i="22"/>
  <c r="J35" i="22"/>
  <c r="J34" i="22"/>
  <c r="J40" i="22"/>
  <c r="J44" i="22"/>
  <c r="J36" i="22"/>
  <c r="J43" i="22"/>
  <c r="L18" i="18"/>
  <c r="N40" i="1"/>
  <c r="J31" i="1"/>
  <c r="J37" i="1"/>
  <c r="L40" i="1"/>
  <c r="J39" i="1"/>
  <c r="J30" i="1"/>
  <c r="L42" i="22"/>
  <c r="P42" i="22"/>
  <c r="J39" i="22"/>
  <c r="J33" i="22"/>
  <c r="N42" i="22"/>
  <c r="J32" i="22"/>
  <c r="J29" i="1"/>
  <c r="J41" i="22"/>
  <c r="F20" i="4"/>
  <c r="F21" i="4"/>
  <c r="G20" i="4"/>
  <c r="G21" i="4"/>
  <c r="H20" i="4"/>
  <c r="H21" i="4"/>
  <c r="I21" i="4"/>
  <c r="E5" i="3"/>
  <c r="H5" i="3"/>
  <c r="H54" i="2"/>
  <c r="G54" i="2"/>
  <c r="F8" i="2"/>
  <c r="L9" i="1"/>
  <c r="F54" i="2"/>
  <c r="E8" i="2"/>
  <c r="J9" i="1"/>
  <c r="E7" i="2"/>
  <c r="J8" i="1"/>
  <c r="J10" i="22"/>
  <c r="J11" i="22"/>
  <c r="L11" i="22"/>
  <c r="P32" i="22"/>
  <c r="J31" i="22"/>
  <c r="P14" i="1"/>
  <c r="H10" i="3"/>
  <c r="J14" i="1"/>
  <c r="E10" i="3"/>
  <c r="J25" i="1"/>
  <c r="N25" i="1"/>
  <c r="L25" i="1"/>
  <c r="G8" i="2"/>
  <c r="N9" i="1"/>
  <c r="H8" i="2"/>
  <c r="P9" i="1"/>
  <c r="F7" i="2"/>
  <c r="L8" i="1"/>
  <c r="J16" i="22"/>
  <c r="J12" i="1"/>
  <c r="P11" i="22"/>
  <c r="L10" i="22"/>
  <c r="N11" i="22"/>
  <c r="P27" i="22"/>
  <c r="N27" i="22"/>
  <c r="J27" i="22"/>
  <c r="L27" i="22"/>
  <c r="F6" i="2"/>
  <c r="L7" i="1"/>
  <c r="E6" i="2"/>
  <c r="J7" i="1"/>
  <c r="J14" i="22"/>
  <c r="P14" i="22"/>
  <c r="J9" i="22"/>
  <c r="L9" i="22"/>
  <c r="G6" i="2"/>
  <c r="N7" i="1"/>
  <c r="H6" i="2"/>
  <c r="P7" i="1"/>
  <c r="G20" i="2"/>
  <c r="F5" i="2"/>
  <c r="L6" i="1"/>
  <c r="H20" i="2"/>
  <c r="F20" i="2"/>
  <c r="E5" i="2"/>
  <c r="J6" i="1"/>
  <c r="P9" i="22"/>
  <c r="L5" i="1"/>
  <c r="L8" i="22"/>
  <c r="N9" i="22"/>
  <c r="J8" i="22"/>
  <c r="J5" i="1"/>
  <c r="G5" i="2"/>
  <c r="N6" i="1"/>
  <c r="H5" i="2"/>
  <c r="P6" i="1"/>
  <c r="F17" i="12"/>
  <c r="F4" i="12"/>
  <c r="L58" i="1"/>
  <c r="H4" i="12"/>
  <c r="P58" i="1"/>
  <c r="E17" i="12"/>
  <c r="P8" i="22"/>
  <c r="N5" i="1"/>
  <c r="N8" i="22"/>
  <c r="J7" i="22"/>
  <c r="L7" i="22"/>
  <c r="E4" i="12"/>
  <c r="J58" i="1"/>
  <c r="G4" i="12"/>
  <c r="N58" i="1"/>
  <c r="N7" i="22"/>
  <c r="P7" i="22"/>
  <c r="A49" i="26"/>
  <c r="A4" i="26"/>
  <c r="D53" i="26"/>
  <c r="H10" i="8"/>
  <c r="G10" i="8"/>
  <c r="F10" i="8"/>
  <c r="N50" i="1"/>
  <c r="N44" i="1"/>
  <c r="H12" i="8"/>
  <c r="J50" i="1"/>
  <c r="F12" i="8"/>
  <c r="L50" i="1"/>
  <c r="L44" i="1"/>
  <c r="G12" i="8"/>
  <c r="I12" i="8"/>
  <c r="N52" i="22"/>
  <c r="J44" i="1"/>
  <c r="J52" i="22"/>
  <c r="L52" i="22"/>
  <c r="L46" i="22"/>
  <c r="C28" i="26"/>
  <c r="L51" i="1"/>
  <c r="L53" i="22"/>
  <c r="P51" i="1"/>
  <c r="P53" i="22"/>
  <c r="E28" i="26"/>
  <c r="J51" i="1"/>
  <c r="J53" i="22"/>
  <c r="J46" i="22"/>
  <c r="B28" i="26"/>
  <c r="N46" i="22"/>
  <c r="D28" i="26"/>
  <c r="N51" i="1"/>
  <c r="N53" i="22"/>
  <c r="N2" i="23"/>
  <c r="L2" i="23"/>
  <c r="G131" i="31"/>
  <c r="G139" i="31"/>
  <c r="G138" i="31"/>
  <c r="G140" i="31"/>
  <c r="E3" i="33"/>
  <c r="E4" i="33"/>
  <c r="D3" i="33"/>
  <c r="D4" i="33"/>
  <c r="C3" i="33"/>
  <c r="C4" i="33"/>
  <c r="B3" i="33"/>
  <c r="B4" i="33"/>
  <c r="I29" i="22"/>
  <c r="I28" i="22"/>
  <c r="I27" i="22"/>
  <c r="G141" i="31"/>
  <c r="G142" i="31"/>
  <c r="J23" i="23"/>
  <c r="P25" i="23"/>
  <c r="N25" i="23"/>
  <c r="J25" i="23"/>
  <c r="L25" i="23"/>
  <c r="L23" i="23"/>
  <c r="J24" i="23"/>
  <c r="P24" i="23"/>
  <c r="L24" i="23"/>
  <c r="P23" i="23"/>
  <c r="N24" i="23"/>
  <c r="N23" i="23"/>
  <c r="P19" i="23"/>
  <c r="L19" i="23"/>
  <c r="J19" i="23"/>
  <c r="N19" i="23"/>
  <c r="J49" i="23"/>
  <c r="L50" i="23"/>
  <c r="J51" i="23"/>
  <c r="P51" i="23"/>
  <c r="N51" i="23"/>
  <c r="J48" i="23"/>
  <c r="L47" i="23"/>
  <c r="P47" i="23"/>
  <c r="P49" i="23"/>
  <c r="L51" i="23"/>
  <c r="N50" i="23"/>
  <c r="L48" i="23"/>
  <c r="L49" i="23"/>
  <c r="N49" i="23"/>
  <c r="J47" i="23"/>
  <c r="J50" i="23"/>
  <c r="P48" i="23"/>
  <c r="P50" i="23"/>
  <c r="N48" i="23"/>
  <c r="N47" i="23"/>
  <c r="L17" i="23"/>
  <c r="P15" i="23"/>
  <c r="J15" i="23"/>
  <c r="P17" i="23"/>
  <c r="L15" i="23"/>
  <c r="J17" i="23"/>
  <c r="N17" i="23"/>
  <c r="N15" i="23"/>
  <c r="J18" i="23"/>
  <c r="L18" i="23"/>
  <c r="N18" i="23"/>
  <c r="P18" i="23"/>
  <c r="P10" i="23"/>
  <c r="J44" i="23"/>
  <c r="N10" i="23"/>
  <c r="J35" i="23"/>
  <c r="J36" i="23"/>
  <c r="J37" i="23"/>
  <c r="J38" i="23"/>
  <c r="J40" i="23"/>
  <c r="J42" i="23"/>
  <c r="J34" i="23"/>
  <c r="J43" i="23"/>
  <c r="L42" i="23"/>
  <c r="N42" i="23"/>
  <c r="J41" i="23"/>
  <c r="J33" i="23"/>
  <c r="P42" i="23"/>
  <c r="J32" i="23"/>
  <c r="J39" i="23"/>
  <c r="J10" i="23"/>
  <c r="J31" i="23"/>
  <c r="L11" i="23"/>
  <c r="J11" i="23"/>
  <c r="P32" i="23"/>
  <c r="J16" i="23"/>
  <c r="L10" i="23"/>
  <c r="J27" i="23"/>
  <c r="L27" i="23"/>
  <c r="P27" i="23"/>
  <c r="P11" i="23"/>
  <c r="P16" i="23"/>
  <c r="N11" i="23"/>
  <c r="N27" i="23"/>
  <c r="J14" i="23"/>
  <c r="J9" i="23"/>
  <c r="L9" i="23"/>
  <c r="P14" i="23"/>
  <c r="F38" i="26"/>
  <c r="P9" i="23"/>
  <c r="J8" i="23"/>
  <c r="L8" i="23"/>
  <c r="N9" i="23"/>
  <c r="P8" i="23"/>
  <c r="J7" i="23"/>
  <c r="L7" i="23"/>
  <c r="N8" i="23"/>
  <c r="N7" i="23"/>
  <c r="P7" i="23"/>
  <c r="N52" i="23"/>
  <c r="J52" i="23"/>
  <c r="P52" i="23"/>
  <c r="P46" i="23"/>
  <c r="F43" i="26"/>
  <c r="J46" i="23"/>
  <c r="L52" i="23"/>
  <c r="L46" i="23"/>
  <c r="B43" i="26"/>
  <c r="N46" i="23"/>
  <c r="D43" i="26"/>
  <c r="F34" i="4"/>
  <c r="F35" i="4"/>
  <c r="N27" i="1"/>
  <c r="L27" i="1"/>
  <c r="L26" i="1"/>
  <c r="G34" i="4"/>
  <c r="N26" i="1"/>
  <c r="H34" i="4"/>
  <c r="J26" i="1"/>
  <c r="I30" i="22"/>
  <c r="I26" i="22"/>
  <c r="I30" i="23"/>
  <c r="I26" i="23"/>
  <c r="I56" i="23"/>
  <c r="J28" i="1"/>
  <c r="J27" i="1"/>
  <c r="L29" i="22"/>
  <c r="L29" i="23"/>
  <c r="N29" i="23"/>
  <c r="N29" i="22"/>
  <c r="J29" i="23"/>
  <c r="J29" i="22"/>
  <c r="P29" i="23"/>
  <c r="J28" i="23"/>
  <c r="J28" i="22"/>
  <c r="N28" i="22"/>
  <c r="N28" i="23"/>
  <c r="P28" i="23"/>
  <c r="P28" i="22"/>
  <c r="L28" i="22"/>
  <c r="L28" i="23"/>
  <c r="N28" i="1"/>
  <c r="N24" i="1"/>
  <c r="H35" i="4"/>
  <c r="I35" i="4"/>
  <c r="J30" i="22"/>
  <c r="J30" i="23"/>
  <c r="L28" i="1"/>
  <c r="G35" i="4"/>
  <c r="J24" i="1"/>
  <c r="E4" i="7"/>
  <c r="E7" i="7"/>
  <c r="J43" i="1"/>
  <c r="F61" i="2"/>
  <c r="E9" i="2"/>
  <c r="L30" i="23"/>
  <c r="L30" i="22"/>
  <c r="L24" i="1"/>
  <c r="N26" i="22"/>
  <c r="N26" i="23"/>
  <c r="D40" i="26"/>
  <c r="P30" i="22"/>
  <c r="P30" i="23"/>
  <c r="J26" i="22"/>
  <c r="J26" i="23"/>
  <c r="N30" i="22"/>
  <c r="N30" i="23"/>
  <c r="J10" i="1"/>
  <c r="G61" i="2"/>
  <c r="F9" i="2"/>
  <c r="H61" i="2"/>
  <c r="G9" i="2"/>
  <c r="I61" i="2"/>
  <c r="H9" i="2"/>
  <c r="J12" i="22"/>
  <c r="J12" i="23"/>
  <c r="P26" i="23"/>
  <c r="F40" i="26"/>
  <c r="J45" i="23"/>
  <c r="J45" i="22"/>
  <c r="B27" i="26"/>
  <c r="L26" i="23"/>
  <c r="B40" i="26"/>
  <c r="L26" i="22"/>
  <c r="P10" i="1"/>
  <c r="N10" i="1"/>
  <c r="L10" i="1"/>
  <c r="B55" i="26"/>
  <c r="L12" i="22"/>
  <c r="L12" i="23"/>
  <c r="N12" i="23"/>
  <c r="N12" i="22"/>
  <c r="P12" i="23"/>
  <c r="P12" i="22"/>
  <c r="J62" i="22"/>
  <c r="B68" i="26"/>
  <c r="J62" i="23"/>
  <c r="N41" i="1"/>
  <c r="L41" i="1"/>
  <c r="N32" i="1"/>
  <c r="L32" i="1"/>
  <c r="L34" i="22"/>
  <c r="L34" i="23"/>
  <c r="N34" i="22"/>
  <c r="N34" i="23"/>
  <c r="P34" i="22"/>
  <c r="P34" i="23"/>
  <c r="L43" i="23"/>
  <c r="L43" i="22"/>
  <c r="N43" i="22"/>
  <c r="N43" i="23"/>
  <c r="P43" i="22"/>
  <c r="P43" i="23"/>
  <c r="L30" i="1"/>
  <c r="I37" i="22"/>
  <c r="I36" i="22"/>
  <c r="I32" i="22"/>
  <c r="I40" i="22"/>
  <c r="I38" i="22"/>
  <c r="I35" i="22"/>
  <c r="I34" i="22"/>
  <c r="I30" i="1"/>
  <c r="I29" i="1"/>
  <c r="N36" i="1"/>
  <c r="N35" i="1"/>
  <c r="L35" i="1"/>
  <c r="L34" i="1"/>
  <c r="N34" i="1"/>
  <c r="L36" i="1"/>
  <c r="N38" i="23"/>
  <c r="N38" i="22"/>
  <c r="N37" i="23"/>
  <c r="N37" i="22"/>
  <c r="P37" i="23"/>
  <c r="P38" i="23"/>
  <c r="L38" i="23"/>
  <c r="L38" i="22"/>
  <c r="L32" i="22"/>
  <c r="L32" i="23"/>
  <c r="N36" i="22"/>
  <c r="N36" i="23"/>
  <c r="P36" i="23"/>
  <c r="P36" i="22"/>
  <c r="L36" i="22"/>
  <c r="L36" i="23"/>
  <c r="L37" i="22"/>
  <c r="L37" i="23"/>
  <c r="I33" i="22"/>
  <c r="I39" i="22"/>
  <c r="L38" i="1"/>
  <c r="I41" i="22"/>
  <c r="N38" i="1"/>
  <c r="N30" i="1"/>
  <c r="L37" i="1"/>
  <c r="N37" i="1"/>
  <c r="N39" i="23"/>
  <c r="N39" i="22"/>
  <c r="L40" i="22"/>
  <c r="L40" i="23"/>
  <c r="P39" i="23"/>
  <c r="P39" i="22"/>
  <c r="L39" i="23"/>
  <c r="L39" i="22"/>
  <c r="I31" i="22"/>
  <c r="I56" i="22"/>
  <c r="N32" i="22"/>
  <c r="N32" i="23"/>
  <c r="P40" i="22"/>
  <c r="P40" i="23"/>
  <c r="N40" i="22"/>
  <c r="N40" i="23"/>
  <c r="P35" i="23"/>
  <c r="N42" i="1"/>
  <c r="L42" i="1"/>
  <c r="N39" i="1"/>
  <c r="L39" i="1"/>
  <c r="N33" i="1"/>
  <c r="L33" i="1"/>
  <c r="N31" i="1"/>
  <c r="L31" i="1"/>
  <c r="N35" i="22"/>
  <c r="N35" i="23"/>
  <c r="L41" i="22"/>
  <c r="L41" i="23"/>
  <c r="N41" i="22"/>
  <c r="N41" i="23"/>
  <c r="P44" i="23"/>
  <c r="P44" i="22"/>
  <c r="L33" i="22"/>
  <c r="L33" i="23"/>
  <c r="L44" i="22"/>
  <c r="L44" i="23"/>
  <c r="P41" i="22"/>
  <c r="P41" i="23"/>
  <c r="N33" i="22"/>
  <c r="N33" i="23"/>
  <c r="N44" i="22"/>
  <c r="N44" i="23"/>
  <c r="L35" i="22"/>
  <c r="L35" i="23"/>
  <c r="P33" i="22"/>
  <c r="P33" i="23"/>
  <c r="N29" i="1"/>
  <c r="G4" i="7"/>
  <c r="G7" i="7"/>
  <c r="N43" i="1"/>
  <c r="L29" i="1"/>
  <c r="F4" i="7"/>
  <c r="F7" i="7"/>
  <c r="L43" i="1"/>
  <c r="P31" i="23"/>
  <c r="F41" i="26"/>
  <c r="N31" i="23"/>
  <c r="D41" i="26"/>
  <c r="N31" i="22"/>
  <c r="L31" i="23"/>
  <c r="B41" i="26"/>
  <c r="L31" i="22"/>
  <c r="N45" i="23"/>
  <c r="D42" i="26"/>
  <c r="N45" i="22"/>
  <c r="D27" i="26"/>
  <c r="L45" i="22"/>
  <c r="C27" i="26"/>
  <c r="L45" i="23"/>
  <c r="B42" i="26"/>
  <c r="E27" i="26"/>
  <c r="P45" i="23"/>
  <c r="F42" i="26"/>
  <c r="L20" i="1"/>
  <c r="N20" i="1"/>
  <c r="N22" i="23"/>
  <c r="N22" i="22"/>
  <c r="L22" i="23"/>
  <c r="L22" i="22"/>
  <c r="P22" i="23"/>
  <c r="P22" i="22"/>
  <c r="J20" i="1"/>
  <c r="J22" i="22"/>
  <c r="J22" i="23"/>
  <c r="G5" i="3"/>
  <c r="F5" i="3"/>
  <c r="N14" i="1"/>
  <c r="G10" i="3"/>
  <c r="L14" i="1"/>
  <c r="F10" i="3"/>
  <c r="I28" i="1"/>
  <c r="N16" i="23"/>
  <c r="N16" i="22"/>
  <c r="L12" i="1"/>
  <c r="L16" i="23"/>
  <c r="L16" i="22"/>
  <c r="N12" i="1"/>
  <c r="I7" i="4"/>
  <c r="I4" i="4"/>
  <c r="D7" i="4"/>
  <c r="I25" i="1"/>
  <c r="L14" i="22"/>
  <c r="L14" i="23"/>
  <c r="B38" i="26"/>
  <c r="N14" i="23"/>
  <c r="D38" i="26"/>
  <c r="N14" i="22"/>
  <c r="D28" i="1"/>
  <c r="I9" i="4"/>
  <c r="I24" i="1"/>
  <c r="I54" i="1"/>
  <c r="B53" i="26"/>
  <c r="C53" i="26"/>
  <c r="E53" i="26"/>
  <c r="C55" i="26"/>
  <c r="D55" i="26"/>
  <c r="E55" i="26"/>
  <c r="E68" i="26"/>
  <c r="P62" i="23"/>
  <c r="F82" i="26"/>
  <c r="N62" i="22"/>
  <c r="D68" i="26"/>
  <c r="N62" i="23"/>
  <c r="D82" i="26"/>
  <c r="L62" i="22"/>
  <c r="C68" i="26"/>
  <c r="L62" i="23"/>
  <c r="B82" i="26"/>
  <c r="J60" i="22"/>
  <c r="B66" i="26"/>
  <c r="J60" i="23"/>
  <c r="N60" i="22"/>
  <c r="D66" i="26"/>
  <c r="N60" i="23"/>
  <c r="D80" i="26"/>
  <c r="L60" i="23"/>
  <c r="B80" i="26"/>
  <c r="L60" i="22"/>
  <c r="C66" i="26"/>
  <c r="E66" i="26"/>
  <c r="P60" i="23"/>
  <c r="F80" i="26"/>
  <c r="C13" i="26"/>
  <c r="B13" i="26"/>
  <c r="E13" i="26"/>
  <c r="D13" i="26"/>
  <c r="B11" i="26"/>
  <c r="D95" i="26"/>
  <c r="F95" i="26"/>
  <c r="B26" i="26"/>
  <c r="B95" i="26"/>
  <c r="E9" i="4"/>
  <c r="G9" i="4"/>
  <c r="F9" i="4"/>
  <c r="H9" i="4"/>
  <c r="D10" i="26"/>
  <c r="E10" i="26"/>
  <c r="C10" i="26"/>
  <c r="B25" i="26"/>
  <c r="C25" i="26"/>
  <c r="D25" i="26"/>
  <c r="B10" i="26"/>
  <c r="E25" i="26"/>
  <c r="B12" i="26"/>
  <c r="H6" i="11"/>
  <c r="G6" i="11"/>
  <c r="F6" i="11"/>
  <c r="E6" i="11"/>
  <c r="E11" i="26"/>
  <c r="C11" i="26"/>
  <c r="C12" i="26"/>
  <c r="C26" i="26"/>
  <c r="E12" i="26"/>
  <c r="E26" i="26"/>
  <c r="D11" i="26"/>
  <c r="E56" i="26"/>
  <c r="E69" i="26"/>
  <c r="P63" i="23"/>
  <c r="F83" i="26"/>
  <c r="D26" i="26"/>
  <c r="D12" i="26"/>
  <c r="B8" i="26"/>
  <c r="B23" i="26"/>
  <c r="B57" i="26"/>
  <c r="J64" i="23"/>
  <c r="J64" i="22"/>
  <c r="B70" i="26"/>
  <c r="C57" i="26"/>
  <c r="D57" i="26"/>
  <c r="E57" i="26"/>
  <c r="E70" i="26"/>
  <c r="P64" i="23"/>
  <c r="F84" i="26"/>
  <c r="N64" i="22"/>
  <c r="D70" i="26"/>
  <c r="N64" i="23"/>
  <c r="D84" i="26"/>
  <c r="L64" i="22"/>
  <c r="C70" i="26"/>
  <c r="L64" i="23"/>
  <c r="B84" i="26"/>
  <c r="C54" i="26"/>
  <c r="D54" i="26"/>
  <c r="E54" i="26"/>
  <c r="C8" i="26"/>
  <c r="B54" i="26"/>
  <c r="C23" i="26"/>
  <c r="B93" i="26"/>
  <c r="E67" i="26"/>
  <c r="P61" i="23"/>
  <c r="F81" i="26"/>
  <c r="N61" i="22"/>
  <c r="D67" i="26"/>
  <c r="N61" i="23"/>
  <c r="D81" i="26"/>
  <c r="L61" i="22"/>
  <c r="C67" i="26"/>
  <c r="L61" i="23"/>
  <c r="B81" i="26"/>
  <c r="J61" i="22"/>
  <c r="B67" i="26"/>
  <c r="J61" i="23"/>
  <c r="D8" i="26"/>
  <c r="D23" i="26"/>
  <c r="D93" i="26"/>
  <c r="E8" i="26"/>
  <c r="E23" i="26"/>
  <c r="F93" i="26"/>
  <c r="J19" i="1"/>
  <c r="G27" i="15"/>
  <c r="G30" i="15"/>
  <c r="J21" i="23"/>
  <c r="J21" i="22"/>
  <c r="J18" i="1"/>
  <c r="J20" i="22"/>
  <c r="J20" i="23"/>
  <c r="F64" i="2"/>
  <c r="N61" i="1"/>
  <c r="L61" i="1"/>
  <c r="J61" i="1"/>
  <c r="F67" i="2"/>
  <c r="E4" i="11"/>
  <c r="J57" i="1"/>
  <c r="B9" i="26"/>
  <c r="B56" i="26"/>
  <c r="J63" i="22"/>
  <c r="B69" i="26"/>
  <c r="J63" i="23"/>
  <c r="D56" i="26"/>
  <c r="N63" i="22"/>
  <c r="D69" i="26"/>
  <c r="N63" i="23"/>
  <c r="D83" i="26"/>
  <c r="C56" i="26"/>
  <c r="L63" i="22"/>
  <c r="C69" i="26"/>
  <c r="L63" i="23"/>
  <c r="B83" i="26"/>
  <c r="B24" i="26"/>
  <c r="B52" i="26"/>
  <c r="B58" i="26"/>
  <c r="J59" i="22"/>
  <c r="J59" i="23"/>
  <c r="J56" i="1"/>
  <c r="J58" i="23"/>
  <c r="J64" i="1"/>
  <c r="J58" i="22"/>
  <c r="B65" i="26"/>
  <c r="B71" i="26"/>
  <c r="J66" i="22"/>
  <c r="J66" i="23"/>
  <c r="N19" i="1"/>
  <c r="P21" i="23"/>
  <c r="P21" i="22"/>
  <c r="N21" i="23"/>
  <c r="N21" i="22"/>
  <c r="H10" i="5"/>
  <c r="G10" i="5"/>
  <c r="F10" i="5"/>
  <c r="L19" i="1"/>
  <c r="N18" i="1"/>
  <c r="P20" i="23"/>
  <c r="F39" i="26"/>
  <c r="N20" i="23"/>
  <c r="D39" i="26"/>
  <c r="N20" i="22"/>
  <c r="H64" i="2"/>
  <c r="H67" i="2"/>
  <c r="L21" i="22"/>
  <c r="L21" i="23"/>
  <c r="L18" i="1"/>
  <c r="E9" i="26"/>
  <c r="D9" i="26"/>
  <c r="G4" i="11"/>
  <c r="N57" i="1"/>
  <c r="L20" i="22"/>
  <c r="L20" i="23"/>
  <c r="B39" i="26"/>
  <c r="B92" i="26"/>
  <c r="G64" i="2"/>
  <c r="G67" i="2"/>
  <c r="C9" i="26"/>
  <c r="F4" i="11"/>
  <c r="L57" i="1"/>
  <c r="E24" i="26"/>
  <c r="D24" i="26"/>
  <c r="N59" i="23"/>
  <c r="D52" i="26"/>
  <c r="D58" i="26"/>
  <c r="N56" i="1"/>
  <c r="N59" i="22"/>
  <c r="E52" i="26"/>
  <c r="E58" i="26"/>
  <c r="P56" i="1"/>
  <c r="P59" i="23"/>
  <c r="D79" i="26"/>
  <c r="L56" i="1"/>
  <c r="C52" i="26"/>
  <c r="C58" i="26"/>
  <c r="L59" i="22"/>
  <c r="L59" i="23"/>
  <c r="D65" i="26"/>
  <c r="D71" i="26"/>
  <c r="N58" i="23"/>
  <c r="N64" i="1"/>
  <c r="N58" i="22"/>
  <c r="F92" i="26"/>
  <c r="C24" i="26"/>
  <c r="F79" i="26"/>
  <c r="P58" i="22"/>
  <c r="P64" i="1"/>
  <c r="P58" i="23"/>
  <c r="D92" i="26"/>
  <c r="E65" i="26"/>
  <c r="E71" i="26"/>
  <c r="B79" i="26"/>
  <c r="C65" i="26"/>
  <c r="C71" i="26"/>
  <c r="P66" i="22"/>
  <c r="P66" i="23"/>
  <c r="L58" i="23"/>
  <c r="L64" i="1"/>
  <c r="L58" i="22"/>
  <c r="D85" i="26"/>
  <c r="E79" i="26"/>
  <c r="F85" i="26"/>
  <c r="G79" i="26"/>
  <c r="N66" i="23"/>
  <c r="N66" i="22"/>
  <c r="G84" i="26"/>
  <c r="G81" i="26"/>
  <c r="G82" i="26"/>
  <c r="G80" i="26"/>
  <c r="F97" i="26"/>
  <c r="G83" i="26"/>
  <c r="E80" i="26"/>
  <c r="E84" i="26"/>
  <c r="D97" i="26"/>
  <c r="E83" i="26"/>
  <c r="E82" i="26"/>
  <c r="E81" i="26"/>
  <c r="L66" i="22"/>
  <c r="L66" i="23"/>
  <c r="B85" i="26"/>
  <c r="C81" i="26"/>
  <c r="B97" i="26"/>
  <c r="C82" i="26"/>
  <c r="C83" i="26"/>
  <c r="C84" i="26"/>
  <c r="C80" i="26"/>
  <c r="C79" i="26"/>
  <c r="E10" i="2"/>
  <c r="E12" i="2"/>
  <c r="J11" i="1"/>
  <c r="J13" i="23"/>
  <c r="J13" i="22"/>
  <c r="J4" i="1"/>
  <c r="B7" i="26"/>
  <c r="J52" i="1"/>
  <c r="B14" i="26"/>
  <c r="J6" i="22"/>
  <c r="J6" i="23"/>
  <c r="B15" i="26"/>
  <c r="J54" i="23"/>
  <c r="J54" i="22"/>
  <c r="B29" i="26"/>
  <c r="J54" i="1"/>
  <c r="K6" i="1"/>
  <c r="B22" i="26"/>
  <c r="K11" i="1"/>
  <c r="K61" i="1"/>
  <c r="K37" i="1"/>
  <c r="K33" i="1"/>
  <c r="K57" i="1"/>
  <c r="K9" i="1"/>
  <c r="K48" i="1"/>
  <c r="K10" i="1"/>
  <c r="K26" i="1"/>
  <c r="K62" i="1"/>
  <c r="K21" i="1"/>
  <c r="K38" i="1"/>
  <c r="K47" i="1"/>
  <c r="K41" i="1"/>
  <c r="K29" i="1"/>
  <c r="K34" i="1"/>
  <c r="K56" i="1"/>
  <c r="K45" i="1"/>
  <c r="K39" i="1"/>
  <c r="K60" i="1"/>
  <c r="K19" i="1"/>
  <c r="K32" i="1"/>
  <c r="K14" i="1"/>
  <c r="K43" i="1"/>
  <c r="K36" i="1"/>
  <c r="K40" i="1"/>
  <c r="K25" i="1"/>
  <c r="K5" i="1"/>
  <c r="K23" i="1"/>
  <c r="K30" i="1"/>
  <c r="K8" i="1"/>
  <c r="K50" i="1"/>
  <c r="K35" i="1"/>
  <c r="K28" i="1"/>
  <c r="K58" i="1"/>
  <c r="K59" i="1"/>
  <c r="K20" i="1"/>
  <c r="K17" i="1"/>
  <c r="K12" i="1"/>
  <c r="K18" i="1"/>
  <c r="J56" i="22"/>
  <c r="K62" i="22"/>
  <c r="J56" i="23"/>
  <c r="K54" i="23"/>
  <c r="K4" i="1"/>
  <c r="K46" i="1"/>
  <c r="K15" i="1"/>
  <c r="K27" i="1"/>
  <c r="K49" i="1"/>
  <c r="K24" i="1"/>
  <c r="K7" i="1"/>
  <c r="B30" i="26"/>
  <c r="K22" i="1"/>
  <c r="K31" i="1"/>
  <c r="K44" i="1"/>
  <c r="K13" i="1"/>
  <c r="K42" i="1"/>
  <c r="K16" i="1"/>
  <c r="K64" i="22"/>
  <c r="K9" i="22"/>
  <c r="K64" i="1"/>
  <c r="K56" i="22"/>
  <c r="K14" i="22"/>
  <c r="K11" i="22"/>
  <c r="K35" i="23"/>
  <c r="K19" i="22"/>
  <c r="K27" i="23"/>
  <c r="K13" i="23"/>
  <c r="K36" i="23"/>
  <c r="K63" i="22"/>
  <c r="K54" i="22"/>
  <c r="K53" i="23"/>
  <c r="K33" i="23"/>
  <c r="K23" i="22"/>
  <c r="K43" i="22"/>
  <c r="K26" i="23"/>
  <c r="K40" i="23"/>
  <c r="K27" i="22"/>
  <c r="K37" i="22"/>
  <c r="K14" i="23"/>
  <c r="K52" i="23"/>
  <c r="K45" i="22"/>
  <c r="K52" i="22"/>
  <c r="K8" i="23"/>
  <c r="K17" i="22"/>
  <c r="K35" i="22"/>
  <c r="K28" i="22"/>
  <c r="K64" i="23"/>
  <c r="K29" i="22"/>
  <c r="K26" i="22"/>
  <c r="K36" i="22"/>
  <c r="K12" i="23"/>
  <c r="K41" i="22"/>
  <c r="K48" i="22"/>
  <c r="K25" i="23"/>
  <c r="K37" i="23"/>
  <c r="K31" i="23"/>
  <c r="K23" i="23"/>
  <c r="K50" i="22"/>
  <c r="K10" i="22"/>
  <c r="K33" i="22"/>
  <c r="K38" i="22"/>
  <c r="K53" i="22"/>
  <c r="K21" i="23"/>
  <c r="K42" i="22"/>
  <c r="K62" i="23"/>
  <c r="K58" i="22"/>
  <c r="K46" i="22"/>
  <c r="K61" i="22"/>
  <c r="K44" i="22"/>
  <c r="K8" i="22"/>
  <c r="K30" i="23"/>
  <c r="K16" i="23"/>
  <c r="K19" i="23"/>
  <c r="K32" i="23"/>
  <c r="K24" i="23"/>
  <c r="K39" i="23"/>
  <c r="K6" i="22"/>
  <c r="K40" i="22"/>
  <c r="K18" i="22"/>
  <c r="K21" i="22"/>
  <c r="K30" i="22"/>
  <c r="K12" i="22"/>
  <c r="K56" i="23"/>
  <c r="K32" i="22"/>
  <c r="K9" i="23"/>
  <c r="K20" i="23"/>
  <c r="K11" i="23"/>
  <c r="K61" i="23"/>
  <c r="K13" i="22"/>
  <c r="K34" i="22"/>
  <c r="K25" i="22"/>
  <c r="K49" i="22"/>
  <c r="K60" i="22"/>
  <c r="K7" i="22"/>
  <c r="K51" i="22"/>
  <c r="K16" i="22"/>
  <c r="K20" i="22"/>
  <c r="K31" i="22"/>
  <c r="K47" i="22"/>
  <c r="K39" i="22"/>
  <c r="K59" i="22"/>
  <c r="K15" i="22"/>
  <c r="K22" i="22"/>
  <c r="K24" i="22"/>
  <c r="K6" i="23"/>
  <c r="K15" i="23"/>
  <c r="K44" i="23"/>
  <c r="K49" i="23"/>
  <c r="K29" i="23"/>
  <c r="K43" i="23"/>
  <c r="K42" i="23"/>
  <c r="K51" i="1"/>
  <c r="K54" i="1"/>
  <c r="K45" i="23"/>
  <c r="K59" i="23"/>
  <c r="K18" i="23"/>
  <c r="K63" i="23"/>
  <c r="K48" i="23"/>
  <c r="K51" i="23"/>
  <c r="K22" i="23"/>
  <c r="K47" i="23"/>
  <c r="K60" i="23"/>
  <c r="K58" i="23"/>
  <c r="K10" i="23"/>
  <c r="K7" i="23"/>
  <c r="K52" i="1"/>
  <c r="F10" i="2"/>
  <c r="F12" i="2"/>
  <c r="K41" i="23"/>
  <c r="K46" i="23"/>
  <c r="K28" i="23"/>
  <c r="K50" i="23"/>
  <c r="K34" i="23"/>
  <c r="K38" i="23"/>
  <c r="K17" i="23"/>
  <c r="K66" i="22"/>
  <c r="K66" i="23"/>
  <c r="L11" i="1"/>
  <c r="L13" i="22"/>
  <c r="L4" i="1"/>
  <c r="L52" i="1"/>
  <c r="L13" i="23"/>
  <c r="L6" i="23"/>
  <c r="B37" i="26"/>
  <c r="L6" i="22"/>
  <c r="C22" i="26"/>
  <c r="C7" i="26"/>
  <c r="L54" i="22"/>
  <c r="C29" i="26"/>
  <c r="L54" i="23"/>
  <c r="B44" i="26"/>
  <c r="B96" i="26"/>
  <c r="L54" i="1"/>
  <c r="M50" i="1"/>
  <c r="C14" i="26"/>
  <c r="G10" i="2"/>
  <c r="B94" i="26"/>
  <c r="B45" i="26"/>
  <c r="C37" i="26"/>
  <c r="C15" i="26"/>
  <c r="M21" i="1"/>
  <c r="M20" i="1"/>
  <c r="M48" i="1"/>
  <c r="M59" i="1"/>
  <c r="M16" i="1"/>
  <c r="L56" i="22"/>
  <c r="M49" i="22"/>
  <c r="L56" i="23"/>
  <c r="M21" i="23"/>
  <c r="M9" i="1"/>
  <c r="M17" i="1"/>
  <c r="M58" i="1"/>
  <c r="M14" i="1"/>
  <c r="M29" i="1"/>
  <c r="M28" i="1"/>
  <c r="M60" i="1"/>
  <c r="M22" i="1"/>
  <c r="M25" i="1"/>
  <c r="M26" i="1"/>
  <c r="M4" i="1"/>
  <c r="M12" i="1"/>
  <c r="M46" i="1"/>
  <c r="M11" i="1"/>
  <c r="M15" i="1"/>
  <c r="M38" i="1"/>
  <c r="M33" i="1"/>
  <c r="M23" i="1"/>
  <c r="M8" i="1"/>
  <c r="M7" i="1"/>
  <c r="M6" i="1"/>
  <c r="M62" i="1"/>
  <c r="M42" i="1"/>
  <c r="M19" i="1"/>
  <c r="M45" i="1"/>
  <c r="M56" i="1"/>
  <c r="M43" i="1"/>
  <c r="M41" i="1"/>
  <c r="M10" i="1"/>
  <c r="M61" i="1"/>
  <c r="M36" i="1"/>
  <c r="M47" i="1"/>
  <c r="M40" i="1"/>
  <c r="M39" i="1"/>
  <c r="M49" i="1"/>
  <c r="M5" i="1"/>
  <c r="M27" i="1"/>
  <c r="M31" i="1"/>
  <c r="M24" i="1"/>
  <c r="M34" i="1"/>
  <c r="M37" i="1"/>
  <c r="M35" i="1"/>
  <c r="C30" i="26"/>
  <c r="M13" i="1"/>
  <c r="M44" i="1"/>
  <c r="M32" i="1"/>
  <c r="M18" i="1"/>
  <c r="M30" i="1"/>
  <c r="M57" i="1"/>
  <c r="N11" i="1"/>
  <c r="G12" i="2"/>
  <c r="C43" i="26"/>
  <c r="C40" i="26"/>
  <c r="C42" i="26"/>
  <c r="C38" i="26"/>
  <c r="C41" i="26"/>
  <c r="C39" i="26"/>
  <c r="B98" i="26"/>
  <c r="C94" i="26"/>
  <c r="C44" i="26"/>
  <c r="M13" i="23"/>
  <c r="M37" i="23"/>
  <c r="M42" i="23"/>
  <c r="M7" i="23"/>
  <c r="M43" i="23"/>
  <c r="M23" i="23"/>
  <c r="M30" i="23"/>
  <c r="M28" i="23"/>
  <c r="M53" i="23"/>
  <c r="M29" i="23"/>
  <c r="M24" i="23"/>
  <c r="M18" i="23"/>
  <c r="M51" i="22"/>
  <c r="M9" i="23"/>
  <c r="M62" i="23"/>
  <c r="M38" i="22"/>
  <c r="M39" i="23"/>
  <c r="M19" i="23"/>
  <c r="M17" i="22"/>
  <c r="M15" i="22"/>
  <c r="M13" i="22"/>
  <c r="M44" i="22"/>
  <c r="M18" i="22"/>
  <c r="M35" i="22"/>
  <c r="M25" i="22"/>
  <c r="M53" i="22"/>
  <c r="M14" i="22"/>
  <c r="M21" i="22"/>
  <c r="M63" i="22"/>
  <c r="M58" i="22"/>
  <c r="M50" i="22"/>
  <c r="M20" i="22"/>
  <c r="M27" i="22"/>
  <c r="M60" i="22"/>
  <c r="M9" i="22"/>
  <c r="M11" i="22"/>
  <c r="M28" i="22"/>
  <c r="M43" i="22"/>
  <c r="M29" i="22"/>
  <c r="M33" i="22"/>
  <c r="M16" i="22"/>
  <c r="M40" i="22"/>
  <c r="M19" i="22"/>
  <c r="M48" i="22"/>
  <c r="M46" i="23"/>
  <c r="M27" i="23"/>
  <c r="M54" i="23"/>
  <c r="M48" i="23"/>
  <c r="M49" i="23"/>
  <c r="M33" i="23"/>
  <c r="M30" i="22"/>
  <c r="M61" i="22"/>
  <c r="M52" i="22"/>
  <c r="M62" i="22"/>
  <c r="M36" i="22"/>
  <c r="M47" i="22"/>
  <c r="M31" i="22"/>
  <c r="M15" i="23"/>
  <c r="M56" i="23"/>
  <c r="M26" i="23"/>
  <c r="M36" i="23"/>
  <c r="M10" i="23"/>
  <c r="M11" i="23"/>
  <c r="M6" i="22"/>
  <c r="M56" i="22"/>
  <c r="M39" i="22"/>
  <c r="M22" i="22"/>
  <c r="M8" i="22"/>
  <c r="M12" i="22"/>
  <c r="M46" i="22"/>
  <c r="M10" i="22"/>
  <c r="M45" i="23"/>
  <c r="M16" i="23"/>
  <c r="M8" i="23"/>
  <c r="M40" i="23"/>
  <c r="M31" i="23"/>
  <c r="M60" i="23"/>
  <c r="M12" i="23"/>
  <c r="M52" i="23"/>
  <c r="M25" i="23"/>
  <c r="M6" i="23"/>
  <c r="M37" i="22"/>
  <c r="M32" i="22"/>
  <c r="M34" i="22"/>
  <c r="M26" i="22"/>
  <c r="M54" i="22"/>
  <c r="M7" i="22"/>
  <c r="M41" i="22"/>
  <c r="M64" i="23"/>
  <c r="M59" i="23"/>
  <c r="M47" i="23"/>
  <c r="M63" i="23"/>
  <c r="M32" i="23"/>
  <c r="M17" i="23"/>
  <c r="M45" i="22"/>
  <c r="M64" i="22"/>
  <c r="M42" i="22"/>
  <c r="M59" i="22"/>
  <c r="M23" i="22"/>
  <c r="M24" i="22"/>
  <c r="M41" i="23"/>
  <c r="M38" i="23"/>
  <c r="M14" i="23"/>
  <c r="M35" i="23"/>
  <c r="M44" i="23"/>
  <c r="M61" i="23"/>
  <c r="M51" i="23"/>
  <c r="M50" i="23"/>
  <c r="M20" i="23"/>
  <c r="M58" i="23"/>
  <c r="M34" i="23"/>
  <c r="M22" i="23"/>
  <c r="M52" i="1"/>
  <c r="H12" i="2"/>
  <c r="M51" i="1"/>
  <c r="M54" i="1"/>
  <c r="M64" i="1"/>
  <c r="N13" i="23"/>
  <c r="N13" i="22"/>
  <c r="N4" i="1"/>
  <c r="C95" i="26"/>
  <c r="C93" i="26"/>
  <c r="C92" i="26"/>
  <c r="C97" i="26"/>
  <c r="C96" i="26"/>
  <c r="M66" i="23"/>
  <c r="M66" i="22"/>
  <c r="D7" i="26"/>
  <c r="N52" i="1"/>
  <c r="N6" i="22"/>
  <c r="N6" i="23"/>
  <c r="D37" i="26"/>
  <c r="D94" i="26"/>
  <c r="P13" i="23"/>
  <c r="P54" i="1"/>
  <c r="N54" i="22"/>
  <c r="D29" i="26"/>
  <c r="N54" i="23"/>
  <c r="D44" i="26"/>
  <c r="D96" i="26"/>
  <c r="N54" i="1"/>
  <c r="O20" i="1"/>
  <c r="D22" i="26"/>
  <c r="D14" i="26"/>
  <c r="D15" i="26"/>
  <c r="D45" i="26"/>
  <c r="E37" i="26"/>
  <c r="E43" i="26"/>
  <c r="E39" i="26"/>
  <c r="E41" i="26"/>
  <c r="E44" i="26"/>
  <c r="E42" i="26"/>
  <c r="E40" i="26"/>
  <c r="E38" i="26"/>
  <c r="D98" i="26"/>
  <c r="E22" i="26"/>
  <c r="O22" i="1"/>
  <c r="O18" i="1"/>
  <c r="O14" i="1"/>
  <c r="E7" i="26"/>
  <c r="D30" i="26"/>
  <c r="P6" i="23"/>
  <c r="F37" i="26"/>
  <c r="O59" i="1"/>
  <c r="O25" i="1"/>
  <c r="O29" i="1"/>
  <c r="O11" i="1"/>
  <c r="O45" i="1"/>
  <c r="O31" i="1"/>
  <c r="O57" i="1"/>
  <c r="O50" i="1"/>
  <c r="O17" i="1"/>
  <c r="O36" i="1"/>
  <c r="O21" i="1"/>
  <c r="O33" i="1"/>
  <c r="O10" i="1"/>
  <c r="O47" i="1"/>
  <c r="O16" i="1"/>
  <c r="O62" i="1"/>
  <c r="O41" i="1"/>
  <c r="O19" i="1"/>
  <c r="O5" i="1"/>
  <c r="O32" i="1"/>
  <c r="O56" i="1"/>
  <c r="O43" i="1"/>
  <c r="O7" i="1"/>
  <c r="O42" i="1"/>
  <c r="O6" i="1"/>
  <c r="O30" i="1"/>
  <c r="O23" i="1"/>
  <c r="O39" i="1"/>
  <c r="O28" i="1"/>
  <c r="O24" i="1"/>
  <c r="O38" i="1"/>
  <c r="N56" i="23"/>
  <c r="O6" i="23"/>
  <c r="O34" i="1"/>
  <c r="O9" i="1"/>
  <c r="O60" i="1"/>
  <c r="O61" i="1"/>
  <c r="O48" i="1"/>
  <c r="O37" i="1"/>
  <c r="O44" i="1"/>
  <c r="O49" i="1"/>
  <c r="O15" i="1"/>
  <c r="O35" i="1"/>
  <c r="O8" i="1"/>
  <c r="O12" i="1"/>
  <c r="O27" i="1"/>
  <c r="O4" i="1"/>
  <c r="N56" i="22"/>
  <c r="O33" i="22"/>
  <c r="O46" i="1"/>
  <c r="O40" i="1"/>
  <c r="O26" i="1"/>
  <c r="O58" i="1"/>
  <c r="O13" i="1"/>
  <c r="E14" i="26"/>
  <c r="E29" i="26"/>
  <c r="Q27" i="1"/>
  <c r="P54" i="23"/>
  <c r="F44" i="26"/>
  <c r="F96" i="26"/>
  <c r="F94" i="26"/>
  <c r="F45" i="26"/>
  <c r="G37" i="26"/>
  <c r="E97" i="26"/>
  <c r="E95" i="26"/>
  <c r="E96" i="26"/>
  <c r="E92" i="26"/>
  <c r="E93" i="26"/>
  <c r="E94" i="26"/>
  <c r="E15" i="26"/>
  <c r="O26" i="23"/>
  <c r="O7" i="23"/>
  <c r="O60" i="23"/>
  <c r="O27" i="23"/>
  <c r="O35" i="23"/>
  <c r="O56" i="23"/>
  <c r="O17" i="23"/>
  <c r="O18" i="23"/>
  <c r="O59" i="23"/>
  <c r="O38" i="23"/>
  <c r="O24" i="23"/>
  <c r="O8" i="23"/>
  <c r="O13" i="23"/>
  <c r="O46" i="23"/>
  <c r="O51" i="23"/>
  <c r="O31" i="23"/>
  <c r="O53" i="23"/>
  <c r="O40" i="23"/>
  <c r="O61" i="23"/>
  <c r="O43" i="23"/>
  <c r="O9" i="23"/>
  <c r="O17" i="22"/>
  <c r="O30" i="23"/>
  <c r="O58" i="23"/>
  <c r="O42" i="23"/>
  <c r="O29" i="23"/>
  <c r="O41" i="23"/>
  <c r="O44" i="22"/>
  <c r="Q10" i="1"/>
  <c r="O14" i="22"/>
  <c r="O39" i="22"/>
  <c r="O20" i="22"/>
  <c r="O63" i="22"/>
  <c r="O15" i="23"/>
  <c r="O14" i="23"/>
  <c r="O9" i="22"/>
  <c r="Q29" i="1"/>
  <c r="O31" i="22"/>
  <c r="O49" i="22"/>
  <c r="P56" i="22"/>
  <c r="Q21" i="22"/>
  <c r="Q56" i="1"/>
  <c r="O15" i="22"/>
  <c r="O8" i="22"/>
  <c r="O12" i="22"/>
  <c r="O62" i="22"/>
  <c r="O10" i="22"/>
  <c r="Q21" i="1"/>
  <c r="Q30" i="1"/>
  <c r="Q9" i="1"/>
  <c r="Q42" i="1"/>
  <c r="Q4" i="1"/>
  <c r="O30" i="22"/>
  <c r="O23" i="22"/>
  <c r="O42" i="22"/>
  <c r="O45" i="22"/>
  <c r="O34" i="22"/>
  <c r="O35" i="22"/>
  <c r="O41" i="22"/>
  <c r="Q39" i="1"/>
  <c r="Q49" i="1"/>
  <c r="Q7" i="1"/>
  <c r="Q14" i="1"/>
  <c r="Q59" i="1"/>
  <c r="Q32" i="1"/>
  <c r="O46" i="22"/>
  <c r="O18" i="22"/>
  <c r="P56" i="23"/>
  <c r="Q6" i="23"/>
  <c r="O19" i="22"/>
  <c r="O48" i="22"/>
  <c r="O60" i="22"/>
  <c r="Q12" i="1"/>
  <c r="O56" i="22"/>
  <c r="Q57" i="1"/>
  <c r="Q43" i="1"/>
  <c r="Q22" i="1"/>
  <c r="Q20" i="1"/>
  <c r="O36" i="22"/>
  <c r="O61" i="22"/>
  <c r="Q24" i="1"/>
  <c r="Q13" i="1"/>
  <c r="O52" i="22"/>
  <c r="O13" i="22"/>
  <c r="O38" i="22"/>
  <c r="O25" i="22"/>
  <c r="O43" i="22"/>
  <c r="O59" i="22"/>
  <c r="O37" i="22"/>
  <c r="O24" i="22"/>
  <c r="O53" i="22"/>
  <c r="O21" i="22"/>
  <c r="O50" i="22"/>
  <c r="O29" i="22"/>
  <c r="Q11" i="1"/>
  <c r="Q61" i="1"/>
  <c r="Q62" i="1"/>
  <c r="Q34" i="1"/>
  <c r="Q16" i="1"/>
  <c r="O32" i="22"/>
  <c r="O22" i="22"/>
  <c r="O27" i="22"/>
  <c r="Q28" i="1"/>
  <c r="O51" i="1"/>
  <c r="O54" i="1"/>
  <c r="O58" i="22"/>
  <c r="O16" i="22"/>
  <c r="Q19" i="1"/>
  <c r="O51" i="22"/>
  <c r="O47" i="22"/>
  <c r="O64" i="22"/>
  <c r="O6" i="22"/>
  <c r="O40" i="22"/>
  <c r="O11" i="22"/>
  <c r="O26" i="22"/>
  <c r="O28" i="22"/>
  <c r="O54" i="22"/>
  <c r="O7" i="22"/>
  <c r="Q5" i="1"/>
  <c r="Q36" i="1"/>
  <c r="Q60" i="1"/>
  <c r="Q35" i="1"/>
  <c r="O62" i="23"/>
  <c r="O16" i="23"/>
  <c r="O39" i="23"/>
  <c r="O63" i="23"/>
  <c r="O36" i="23"/>
  <c r="O12" i="23"/>
  <c r="O32" i="23"/>
  <c r="O22" i="23"/>
  <c r="O34" i="23"/>
  <c r="O21" i="23"/>
  <c r="O52" i="23"/>
  <c r="O37" i="23"/>
  <c r="O11" i="23"/>
  <c r="Q23" i="1"/>
  <c r="Q44" i="1"/>
  <c r="Q25" i="1"/>
  <c r="Q17" i="1"/>
  <c r="Q45" i="1"/>
  <c r="Q50" i="1"/>
  <c r="O19" i="23"/>
  <c r="O33" i="23"/>
  <c r="O47" i="23"/>
  <c r="O48" i="23"/>
  <c r="O50" i="23"/>
  <c r="O44" i="23"/>
  <c r="Q58" i="1"/>
  <c r="Q33" i="1"/>
  <c r="Q15" i="1"/>
  <c r="Q18" i="1"/>
  <c r="Q40" i="1"/>
  <c r="Q31" i="1"/>
  <c r="Q26" i="1"/>
  <c r="O10" i="23"/>
  <c r="O28" i="23"/>
  <c r="O64" i="23"/>
  <c r="O45" i="23"/>
  <c r="O23" i="23"/>
  <c r="O25" i="23"/>
  <c r="O20" i="23"/>
  <c r="O49" i="23"/>
  <c r="Q8" i="1"/>
  <c r="Q6" i="1"/>
  <c r="Q41" i="1"/>
  <c r="Q46" i="1"/>
  <c r="Q37" i="1"/>
  <c r="Q48" i="1"/>
  <c r="Q47" i="1"/>
  <c r="O64" i="1"/>
  <c r="O52" i="1"/>
  <c r="E30" i="26"/>
  <c r="Q38" i="1"/>
  <c r="O54" i="23"/>
  <c r="G39" i="26"/>
  <c r="G42" i="26"/>
  <c r="G43" i="26"/>
  <c r="G41" i="26"/>
  <c r="G40" i="26"/>
  <c r="G44" i="26"/>
  <c r="G38" i="26"/>
  <c r="F98" i="26"/>
  <c r="G94" i="26"/>
  <c r="Q52" i="22"/>
  <c r="Q45" i="23"/>
  <c r="Q62" i="22"/>
  <c r="Q43" i="22"/>
  <c r="Q25" i="22"/>
  <c r="Q16" i="23"/>
  <c r="O66" i="23"/>
  <c r="Q22" i="22"/>
  <c r="Q24" i="22"/>
  <c r="Q64" i="23"/>
  <c r="Q22" i="23"/>
  <c r="Q36" i="23"/>
  <c r="Q49" i="23"/>
  <c r="Q13" i="23"/>
  <c r="Q37" i="23"/>
  <c r="Q29" i="23"/>
  <c r="Q27" i="23"/>
  <c r="Q40" i="22"/>
  <c r="Q30" i="22"/>
  <c r="Q34" i="22"/>
  <c r="Q44" i="22"/>
  <c r="Q53" i="22"/>
  <c r="Q39" i="22"/>
  <c r="Q18" i="22"/>
  <c r="Q35" i="22"/>
  <c r="Q56" i="23"/>
  <c r="Q62" i="23"/>
  <c r="Q16" i="22"/>
  <c r="Q46" i="22"/>
  <c r="Q10" i="22"/>
  <c r="Q19" i="22"/>
  <c r="Q60" i="23"/>
  <c r="Q63" i="23"/>
  <c r="Q32" i="23"/>
  <c r="Q64" i="1"/>
  <c r="Q36" i="22"/>
  <c r="Q13" i="22"/>
  <c r="Q41" i="22"/>
  <c r="Q12" i="22"/>
  <c r="Q31" i="22"/>
  <c r="Q30" i="23"/>
  <c r="Q19" i="23"/>
  <c r="Q38" i="23"/>
  <c r="Q48" i="22"/>
  <c r="Q38" i="22"/>
  <c r="Q26" i="22"/>
  <c r="Q15" i="22"/>
  <c r="Q63" i="22"/>
  <c r="Q8" i="23"/>
  <c r="Q23" i="23"/>
  <c r="Q54" i="23"/>
  <c r="Q52" i="1"/>
  <c r="Q6" i="22"/>
  <c r="Q28" i="22"/>
  <c r="Q64" i="22"/>
  <c r="Q47" i="22"/>
  <c r="Q50" i="22"/>
  <c r="Q14" i="22"/>
  <c r="Q20" i="22"/>
  <c r="Q23" i="22"/>
  <c r="Q29" i="22"/>
  <c r="Q33" i="22"/>
  <c r="Q7" i="22"/>
  <c r="Q37" i="22"/>
  <c r="Q42" i="22"/>
  <c r="Q58" i="22"/>
  <c r="Q9" i="22"/>
  <c r="Q17" i="22"/>
  <c r="Q51" i="22"/>
  <c r="Q32" i="22"/>
  <c r="Q61" i="22"/>
  <c r="Q59" i="22"/>
  <c r="Q54" i="22"/>
  <c r="Q56" i="22"/>
  <c r="Q49" i="22"/>
  <c r="Q60" i="22"/>
  <c r="Q8" i="22"/>
  <c r="Q11" i="22"/>
  <c r="Q27" i="22"/>
  <c r="Q45" i="22"/>
  <c r="O66" i="22"/>
  <c r="Q28" i="23"/>
  <c r="Q47" i="23"/>
  <c r="Q17" i="23"/>
  <c r="Q48" i="23"/>
  <c r="Q39" i="23"/>
  <c r="Q61" i="23"/>
  <c r="Q51" i="23"/>
  <c r="Q15" i="23"/>
  <c r="Q10" i="23"/>
  <c r="Q46" i="23"/>
  <c r="Q14" i="23"/>
  <c r="Q11" i="23"/>
  <c r="Q35" i="23"/>
  <c r="Q41" i="23"/>
  <c r="Q18" i="23"/>
  <c r="Q44" i="23"/>
  <c r="Q24" i="23"/>
  <c r="Q33" i="23"/>
  <c r="Q25" i="23"/>
  <c r="Q59" i="23"/>
  <c r="Q53" i="23"/>
  <c r="Q34" i="23"/>
  <c r="Q52" i="23"/>
  <c r="Q21" i="23"/>
  <c r="Q42" i="23"/>
  <c r="Q26" i="23"/>
  <c r="Q9" i="23"/>
  <c r="Q58" i="23"/>
  <c r="Q12" i="23"/>
  <c r="Q31" i="23"/>
  <c r="Q50" i="23"/>
  <c r="Q43" i="23"/>
  <c r="Q20" i="23"/>
  <c r="Q40" i="23"/>
  <c r="Q7" i="23"/>
  <c r="Q51" i="1"/>
  <c r="Q54" i="1"/>
  <c r="G96" i="26"/>
  <c r="G93" i="26"/>
  <c r="G95" i="26"/>
  <c r="G92" i="26"/>
  <c r="G97" i="26"/>
  <c r="Q66" i="23"/>
  <c r="Q66" i="22"/>
</calcChain>
</file>

<file path=xl/sharedStrings.xml><?xml version="1.0" encoding="utf-8"?>
<sst xmlns="http://schemas.openxmlformats.org/spreadsheetml/2006/main" count="2510" uniqueCount="1423">
  <si>
    <t>Capex</t>
  </si>
  <si>
    <t>Permitting and Environmental Compliance</t>
  </si>
  <si>
    <t>1.1.1</t>
  </si>
  <si>
    <t>Siting &amp; Scoping</t>
  </si>
  <si>
    <t>1.1.2</t>
  </si>
  <si>
    <t>Pre-Installation Studies</t>
  </si>
  <si>
    <t>1.1.3</t>
  </si>
  <si>
    <t>Post-Installation Studies</t>
  </si>
  <si>
    <t>NEPA &amp; Process</t>
  </si>
  <si>
    <t>1.2.1</t>
  </si>
  <si>
    <t>Infrastructure</t>
  </si>
  <si>
    <t>1.2.2</t>
  </si>
  <si>
    <t>Subsea Cables</t>
  </si>
  <si>
    <t>1.2.3</t>
  </si>
  <si>
    <t>Dockside Improvements</t>
  </si>
  <si>
    <t>1.2.4</t>
  </si>
  <si>
    <t>1.2.5</t>
  </si>
  <si>
    <t>Other</t>
  </si>
  <si>
    <t>Mooring/Foundation</t>
  </si>
  <si>
    <t>1.3.1</t>
  </si>
  <si>
    <t>Mooring lines/chain</t>
  </si>
  <si>
    <t>1.3.2</t>
  </si>
  <si>
    <t>Anchors</t>
  </si>
  <si>
    <t>1.3.3</t>
  </si>
  <si>
    <t>1.3.4</t>
  </si>
  <si>
    <t>Connecting Hardware (shackles etc.)</t>
  </si>
  <si>
    <t>1.3.5</t>
  </si>
  <si>
    <t>Device Structural Components</t>
  </si>
  <si>
    <t>1.4.1</t>
  </si>
  <si>
    <t>1.4.2</t>
  </si>
  <si>
    <t>1.4.3</t>
  </si>
  <si>
    <t>1.4.4</t>
  </si>
  <si>
    <t>Power Take Off</t>
  </si>
  <si>
    <t>1.5.1</t>
  </si>
  <si>
    <t>Generator</t>
  </si>
  <si>
    <t>1.5.2</t>
  </si>
  <si>
    <t>1.5.3</t>
  </si>
  <si>
    <t>1.5.4</t>
  </si>
  <si>
    <t>Hydraulic System</t>
  </si>
  <si>
    <t>Frequency Converter</t>
  </si>
  <si>
    <t>1.5.5</t>
  </si>
  <si>
    <t>Step-up Transformer</t>
  </si>
  <si>
    <t>1.5.6</t>
  </si>
  <si>
    <t>Riser Cable</t>
  </si>
  <si>
    <t>1.5.7</t>
  </si>
  <si>
    <t>Electrical Energy Storage</t>
  </si>
  <si>
    <t>1.5.8</t>
  </si>
  <si>
    <t>Installation</t>
  </si>
  <si>
    <t>Transport to Staging Site</t>
  </si>
  <si>
    <t>Cable Shore Landing</t>
  </si>
  <si>
    <t>Device Installation</t>
  </si>
  <si>
    <t>Device Comissioning</t>
  </si>
  <si>
    <t>Insurance</t>
  </si>
  <si>
    <t>Environmental Monitoring and Regulatory Compliance</t>
  </si>
  <si>
    <t>Marine Operations</t>
  </si>
  <si>
    <t>Shoreside Operations</t>
  </si>
  <si>
    <t>Replacement Parts</t>
  </si>
  <si>
    <t>Consumables</t>
  </si>
  <si>
    <t>Annualized OPEX</t>
  </si>
  <si>
    <t>Dedicated O&amp;M Vessel</t>
  </si>
  <si>
    <t>Seals</t>
  </si>
  <si>
    <t>1.5.9</t>
  </si>
  <si>
    <t xml:space="preserve">Control System </t>
  </si>
  <si>
    <t>Device Access (Railings, Ladders, etc)</t>
  </si>
  <si>
    <t>Bearings and Linear Guides</t>
  </si>
  <si>
    <t>Assembly, Testing &amp; QA</t>
  </si>
  <si>
    <t>Units</t>
  </si>
  <si>
    <t>1.5.10</t>
  </si>
  <si>
    <t>1.5.11</t>
  </si>
  <si>
    <t>1.5.12</t>
  </si>
  <si>
    <t>1.5.13</t>
  </si>
  <si>
    <t>Mooring/Foundation System</t>
  </si>
  <si>
    <t>Subsystem Integration &amp; Profit Margin</t>
  </si>
  <si>
    <t>1.7.1</t>
  </si>
  <si>
    <t>1.7.2</t>
  </si>
  <si>
    <t>1.7.3</t>
  </si>
  <si>
    <t>1.7.4</t>
  </si>
  <si>
    <t>1.7.5</t>
  </si>
  <si>
    <t>1.7.6</t>
  </si>
  <si>
    <t>Cost</t>
  </si>
  <si>
    <t>Total Cost</t>
  </si>
  <si>
    <t>Total</t>
  </si>
  <si>
    <t>Assumptions</t>
  </si>
  <si>
    <t>Component</t>
  </si>
  <si>
    <t>Sum</t>
  </si>
  <si>
    <t>1-Unit</t>
  </si>
  <si>
    <t>10 Units</t>
  </si>
  <si>
    <t>50 Units</t>
  </si>
  <si>
    <t>100 Units</t>
  </si>
  <si>
    <t>Transport Cost to Staging Site</t>
  </si>
  <si>
    <t>1 - Unit</t>
  </si>
  <si>
    <t>10 - Units</t>
  </si>
  <si>
    <t>100 - Units</t>
  </si>
  <si>
    <t>50 - Units</t>
  </si>
  <si>
    <t>Note: Typical in offshore one-off projects</t>
  </si>
  <si>
    <t>Note: Typical in Onshore Wind, assuming high technical maturity</t>
  </si>
  <si>
    <t>1 Unit</t>
  </si>
  <si>
    <t>Totals</t>
  </si>
  <si>
    <t>Development</t>
  </si>
  <si>
    <t>1.1.1.1</t>
  </si>
  <si>
    <t>1.1.1.2</t>
  </si>
  <si>
    <t>1.1.1.3</t>
  </si>
  <si>
    <t>1.1.1.4</t>
  </si>
  <si>
    <t>Site Assessment</t>
  </si>
  <si>
    <t>Design &amp; Engineering</t>
  </si>
  <si>
    <t>10-Units</t>
  </si>
  <si>
    <t>100-Units</t>
  </si>
  <si>
    <t>50-Units</t>
  </si>
  <si>
    <t>Cost Summary</t>
  </si>
  <si>
    <t>Weight (tonnes)</t>
  </si>
  <si>
    <t>Profit</t>
  </si>
  <si>
    <t>Mass</t>
  </si>
  <si>
    <t>Category</t>
  </si>
  <si>
    <t>Prog Ratio</t>
  </si>
  <si>
    <t>Cost per unit</t>
  </si>
  <si>
    <t>Siting and Scoping</t>
  </si>
  <si>
    <t>Environmental Scoping</t>
  </si>
  <si>
    <t>Community Outreach</t>
  </si>
  <si>
    <t>Regulatory Outreach</t>
  </si>
  <si>
    <t>Fish and Invertebrates</t>
  </si>
  <si>
    <t>Habitat</t>
  </si>
  <si>
    <t>Cultural Resources</t>
  </si>
  <si>
    <t>Navigation</t>
  </si>
  <si>
    <t>Recreation</t>
  </si>
  <si>
    <t>Post-Install Capital</t>
  </si>
  <si>
    <t>NEPA Document Preparation</t>
  </si>
  <si>
    <t>Monitoring and Study Plans</t>
  </si>
  <si>
    <t>NEPA and Process</t>
  </si>
  <si>
    <t xml:space="preserve">Material </t>
  </si>
  <si>
    <t>Labor</t>
  </si>
  <si>
    <t>m</t>
  </si>
  <si>
    <t>1.2.3 Dockside Improvements</t>
  </si>
  <si>
    <t>1.2.4 Dedicated O&amp;M Vessel</t>
  </si>
  <si>
    <t>% of Structural</t>
  </si>
  <si>
    <t>PTO mounting</t>
  </si>
  <si>
    <t>kW</t>
  </si>
  <si>
    <t>Mass (kg)</t>
  </si>
  <si>
    <t># Units</t>
  </si>
  <si>
    <t>Contingency</t>
  </si>
  <si>
    <t>Design and Engineering</t>
  </si>
  <si>
    <t>Decommissioning</t>
  </si>
  <si>
    <t>in%</t>
  </si>
  <si>
    <t>in %</t>
  </si>
  <si>
    <t>% of total assumpton</t>
  </si>
  <si>
    <t>Cost Estimating Notes</t>
  </si>
  <si>
    <t>Terminations and Connectors</t>
  </si>
  <si>
    <t>1.2.2 Terminations and Connectors</t>
  </si>
  <si>
    <t>Structural Cost Total from 1-3</t>
  </si>
  <si>
    <t>tonnes</t>
  </si>
  <si>
    <t>Non-Reccuring</t>
  </si>
  <si>
    <t>1.6 Subsystem Integration and Profit Margin</t>
  </si>
  <si>
    <t>Transmission Efficiency</t>
  </si>
  <si>
    <t>Annual Output</t>
  </si>
  <si>
    <t>Mirko Previsic</t>
  </si>
  <si>
    <t>Company</t>
  </si>
  <si>
    <t>Contact</t>
  </si>
  <si>
    <t>mirko@re-vision.net</t>
  </si>
  <si>
    <t>Created by</t>
  </si>
  <si>
    <t>Date</t>
  </si>
  <si>
    <t>Disclaimer</t>
  </si>
  <si>
    <t>Project Design, Engineering, and Management</t>
  </si>
  <si>
    <t>1.8 Decomissioning</t>
  </si>
  <si>
    <t>1.9 Contingency</t>
  </si>
  <si>
    <t>occurs at the end of the 20-year project life, having a minimal impact on the cost of electricty from this plant.  Decomissioning costs are not represented in the CoE assessment.</t>
  </si>
  <si>
    <t>MACRS Depreciation</t>
  </si>
  <si>
    <t>Construction Finance Rate</t>
  </si>
  <si>
    <t>Effective Tax Rate</t>
  </si>
  <si>
    <t>Technical Input Parameters</t>
  </si>
  <si>
    <t>Average Power Flux</t>
  </si>
  <si>
    <t>Energy Extraction</t>
  </si>
  <si>
    <t>Average Extracted Power</t>
  </si>
  <si>
    <t>Average Electric Power</t>
  </si>
  <si>
    <t>Rated Electric Power</t>
  </si>
  <si>
    <t xml:space="preserve">Machine Capacity Factor </t>
  </si>
  <si>
    <t>Array Parameters</t>
  </si>
  <si>
    <t># of US homes equivalent</t>
  </si>
  <si>
    <t>Array/Turbine Availability</t>
  </si>
  <si>
    <t>MWh/year</t>
  </si>
  <si>
    <t>Resource and Performance Outputs</t>
  </si>
  <si>
    <t>Site Resource Parameters</t>
  </si>
  <si>
    <t>Economic Parameters (Utility Generator Model)</t>
  </si>
  <si>
    <t>State Tax Rate</t>
  </si>
  <si>
    <t>Return on Equity</t>
  </si>
  <si>
    <t>Equity</t>
  </si>
  <si>
    <t>Debt</t>
  </si>
  <si>
    <t>Return on Debt</t>
  </si>
  <si>
    <t>Federal Tax Rate</t>
  </si>
  <si>
    <t>Plant Life (years)</t>
  </si>
  <si>
    <t>Year 1</t>
  </si>
  <si>
    <t>Year 2</t>
  </si>
  <si>
    <t>Year 3</t>
  </si>
  <si>
    <t>Year 4</t>
  </si>
  <si>
    <t>Year 5</t>
  </si>
  <si>
    <t>Year 6</t>
  </si>
  <si>
    <t>PVdepr</t>
  </si>
  <si>
    <t>Construction Cost Multiplier (CCMult)</t>
  </si>
  <si>
    <t>Weighted Average Cost of Capital (After tax)</t>
  </si>
  <si>
    <t>% Construction Spending during Year 0</t>
  </si>
  <si>
    <t>% Construction Spending during Year 1</t>
  </si>
  <si>
    <t>Annual Construction Multiplier - Year 1</t>
  </si>
  <si>
    <t>Annual Construction Multiplier - Year 2</t>
  </si>
  <si>
    <t>CCmult*CRF*(1-T*PVdepr)/(1-T)</t>
  </si>
  <si>
    <t xml:space="preserve">  1+(1-T)*[ (1+ (Construction Finance Rate))^(t+0.5) - 1 ]</t>
  </si>
  <si>
    <t>Capital Recovery Factor (WACC,Plant Life)</t>
  </si>
  <si>
    <t>Fixed Charge Rate</t>
  </si>
  <si>
    <t>Total Annual OPEX</t>
  </si>
  <si>
    <t>Plant Rated Capacity (kW)</t>
  </si>
  <si>
    <t>MWh/Year</t>
  </si>
  <si>
    <t xml:space="preserve">10% is used because that is what offshore wind has been using.    </t>
  </si>
  <si>
    <t>$/tonne</t>
  </si>
  <si>
    <t>Unknown</t>
  </si>
  <si>
    <t>10-100 Units</t>
  </si>
  <si>
    <t>RE Vision Consulting, LLC</t>
  </si>
  <si>
    <t>Cost Basis in $'s</t>
  </si>
  <si>
    <t>Capex and Opex Table Rounding</t>
  </si>
  <si>
    <t># of digits to zero</t>
  </si>
  <si>
    <t>$ / kW</t>
  </si>
  <si>
    <t>cents/kWh</t>
  </si>
  <si>
    <t>%</t>
  </si>
  <si>
    <t>$ / kW-yr</t>
  </si>
  <si>
    <t>Environmental Monitoring &amp; Regulatory Compliance</t>
  </si>
  <si>
    <t>Total Cost / yr</t>
  </si>
  <si>
    <t>Device</t>
  </si>
  <si>
    <t>Operation and Maintenance</t>
  </si>
  <si>
    <t>Opex</t>
  </si>
  <si>
    <t>Capex &amp; Opex</t>
  </si>
  <si>
    <t># of Units</t>
  </si>
  <si>
    <t>Installed Capacity (kW)</t>
  </si>
  <si>
    <t>Installed Capacity (MW)</t>
  </si>
  <si>
    <t>Sensitvity Graphs</t>
  </si>
  <si>
    <t>Value</t>
  </si>
  <si>
    <t>RESULTS</t>
  </si>
  <si>
    <t>Data Sources</t>
  </si>
  <si>
    <t>PNNL - Detailed in Separate Document</t>
  </si>
  <si>
    <t>RE Vision Estimate from similar experience</t>
  </si>
  <si>
    <t>Cost Estimating Notes:</t>
  </si>
  <si>
    <t>RE Vision Assumption</t>
  </si>
  <si>
    <t>Decomissioning costs are assumed to be the same as the installation costs, because similar operational procedures will be used to remove the plant hardware as for the installation process.  The key difference is that decomissioning</t>
  </si>
  <si>
    <t xml:space="preserve">Contingency captures unknown unknowns.  Given the conceptual level of design, it is likely that quite a few items are not well understood and hence costs are under-predicted.   </t>
  </si>
  <si>
    <t xml:space="preserve">Insurance cost is a direct function of the perceived risk of a project.  Offshore Oil &amp; Gas project are typically on the order of 2% of CAPEX.  These are one-off construction projects with a relatively high risk profile (oil-spill potential etc.). </t>
  </si>
  <si>
    <t xml:space="preserve"> On the other end of the spectrum is land-based wind that is technologically mature with typical insurance rates on the order of 0.5%.  The assumption is that for 1 and 10-unit deployment scales technology is relatively immature</t>
  </si>
  <si>
    <t xml:space="preserve">It is also assumed that no investor will take the risk of building a 100-unit farm unless technology risks are perceived as being really small. </t>
  </si>
  <si>
    <t>RE Vision Estimate based on related project experience</t>
  </si>
  <si>
    <t>50-100 Units</t>
  </si>
  <si>
    <t>Cost Estimating Notes for Commercial Scale (100-Units)</t>
  </si>
  <si>
    <t>Cost Estimating Notes - Single Unit Scale</t>
  </si>
  <si>
    <t>Incremental Cost for Farm Deployments</t>
  </si>
  <si>
    <t>Annualized Cost Breakdown</t>
  </si>
  <si>
    <t>Data directly taken from PNNL study</t>
  </si>
  <si>
    <t>Single Unit in Mass Production</t>
  </si>
  <si>
    <t>PNNL - Described in Separate Report</t>
  </si>
  <si>
    <t>Survey</t>
  </si>
  <si>
    <t>Cable Installation</t>
  </si>
  <si>
    <t>Mooring Installation</t>
  </si>
  <si>
    <t>Cable Landing</t>
  </si>
  <si>
    <t>Seabed Survey &amp; Mapping</t>
  </si>
  <si>
    <t>Marine Mammals</t>
  </si>
  <si>
    <t>Seabirds</t>
  </si>
  <si>
    <t>Turtles</t>
  </si>
  <si>
    <t>Water Quality</t>
  </si>
  <si>
    <t>Marine Mammals and Turtles</t>
  </si>
  <si>
    <t>Fish</t>
  </si>
  <si>
    <t>Benthos</t>
  </si>
  <si>
    <t>Acoustic Characterization Monitoring</t>
  </si>
  <si>
    <t xml:space="preserve">Resource Assessment </t>
  </si>
  <si>
    <t>Detailed Resource Assessment - Hydrodynamic modeling</t>
  </si>
  <si>
    <t>Ecosystem Effects Seabird</t>
  </si>
  <si>
    <t>Ecosystem Effects Marine Mammals &amp; Turtles</t>
  </si>
  <si>
    <t>Ecosystem Effects Fish</t>
  </si>
  <si>
    <t>1.2.1 Subsea Cables</t>
  </si>
  <si>
    <t>Surface Float</t>
  </si>
  <si>
    <t>Vertical Column</t>
  </si>
  <si>
    <t>Reaction Plate</t>
  </si>
  <si>
    <t>Cost Breakdown Structure for WEC Rated at 286 kW</t>
  </si>
  <si>
    <t>Cost Breakdown Structure for Wave Energy Device</t>
  </si>
  <si>
    <t>Power Conversion System Parameters</t>
  </si>
  <si>
    <t>PTO Efficiency</t>
  </si>
  <si>
    <t xml:space="preserve">kW/m </t>
  </si>
  <si>
    <t>Average Hs</t>
  </si>
  <si>
    <t>Average Te</t>
  </si>
  <si>
    <t>sec</t>
  </si>
  <si>
    <t>Rated Power</t>
  </si>
  <si>
    <t>Unconstrained Device Performance</t>
  </si>
  <si>
    <t>Constrained Device Performance</t>
  </si>
  <si>
    <t>Hs</t>
  </si>
  <si>
    <t>Te</t>
  </si>
  <si>
    <t>Wave Resource Power Flux</t>
  </si>
  <si>
    <t>Wave Resource Frequency Distribution (unnormalized)</t>
  </si>
  <si>
    <t>Determining Trunk-cable length, shore to first junction box</t>
  </si>
  <si>
    <t>Site Distance to shore</t>
  </si>
  <si>
    <t>Capacity</t>
  </si>
  <si>
    <t>Unit Capacity (kW)</t>
  </si>
  <si>
    <t>#</t>
  </si>
  <si>
    <t>Plant Capacity (MW)</t>
  </si>
  <si>
    <t>Target Cable Capacity incl. 20% contingency (MW)</t>
  </si>
  <si>
    <t>Contingency Cable Length incl. 20% Contingency (m)</t>
  </si>
  <si>
    <t>Array Cable</t>
  </si>
  <si>
    <t xml:space="preserve">Per Device Cable Length </t>
  </si>
  <si>
    <t>Total Cable Length</t>
  </si>
  <si>
    <t>Subsea Cable Cost</t>
  </si>
  <si>
    <t>Trunck Cable</t>
  </si>
  <si>
    <t>Inter-Device Cable Length</t>
  </si>
  <si>
    <t>Trunk Cable Cost ($/m)</t>
  </si>
  <si>
    <t>Inter-Device Cable</t>
  </si>
  <si>
    <t>10% of Subsea Cable Cost</t>
  </si>
  <si>
    <t>None</t>
  </si>
  <si>
    <t>Rough Estimates were used for subsea cable cost</t>
  </si>
  <si>
    <t>Based on Preliminary Mooring Design</t>
  </si>
  <si>
    <t>RE Vision</t>
  </si>
  <si>
    <t>Single Unit Cost Breakdown for 100-kW baseline</t>
  </si>
  <si>
    <t>Hydraulic Cylinder</t>
  </si>
  <si>
    <t>Relieve Valves</t>
  </si>
  <si>
    <t>Pressure Sensor</t>
  </si>
  <si>
    <t>Valve Subplate</t>
  </si>
  <si>
    <t>Accumulator</t>
  </si>
  <si>
    <t>HP Filter</t>
  </si>
  <si>
    <t>Return Filter</t>
  </si>
  <si>
    <t>Fixed Displacement Motor</t>
  </si>
  <si>
    <t>Reservoir</t>
  </si>
  <si>
    <t>Plumbing</t>
  </si>
  <si>
    <t>Fluid</t>
  </si>
  <si>
    <t>Misc</t>
  </si>
  <si>
    <t>Machine/Pipe Foundations</t>
  </si>
  <si>
    <t>Solenoid Valves</t>
  </si>
  <si>
    <t>Pressure Sensors</t>
  </si>
  <si>
    <t>Assembly &amp; Testing</t>
  </si>
  <si>
    <t>Check Valves</t>
  </si>
  <si>
    <t>100 Unit Cost Breakdown for 100kW baseline</t>
  </si>
  <si>
    <t>Hydraulic Energy Storage</t>
  </si>
  <si>
    <t>Hydraulic Components (all)</t>
  </si>
  <si>
    <t>Cost - 100kW</t>
  </si>
  <si>
    <t>Linear Guide</t>
  </si>
  <si>
    <t>Subsea Cable</t>
  </si>
  <si>
    <t>Mooring Components</t>
  </si>
  <si>
    <t>Notes:</t>
  </si>
  <si>
    <t xml:space="preserve"> - Cost from previous projects in the Pacific Northwest</t>
  </si>
  <si>
    <t xml:space="preserve"> - Drilling Distance: 500m</t>
  </si>
  <si>
    <t xml:space="preserve"> - 1 Unit would require an 8" conduit</t>
  </si>
  <si>
    <t xml:space="preserve"> - 10 Units would require 10" Conduit</t>
  </si>
  <si>
    <t xml:space="preserve"> - Jettable Material &lt; 7,500 psi </t>
  </si>
  <si>
    <t>Total HDD Activities</t>
  </si>
  <si>
    <t xml:space="preserve"> - 100 Units would require 2 x 10" conduit</t>
  </si>
  <si>
    <r>
      <t xml:space="preserve"> - </t>
    </r>
    <r>
      <rPr>
        <sz val="11"/>
        <rFont val="Calibri"/>
        <family val="2"/>
        <scheme val="minor"/>
      </rPr>
      <t>Deck space = 5100 ft^2 =&gt; 2-3 moorings can be loaded</t>
    </r>
  </si>
  <si>
    <t xml:space="preserve"> - 50 Units would require 1 x 10" conduit</t>
  </si>
  <si>
    <t xml:space="preserve">  - Mooring Installation Vessel M/V Mystique or similar</t>
  </si>
  <si>
    <t xml:space="preserve"> - Fuel at $3.5/gallon</t>
  </si>
  <si>
    <t>Mob/Demob of Vessel</t>
  </si>
  <si>
    <t xml:space="preserve">Dockside Support </t>
  </si>
  <si>
    <t>At Dock Loading</t>
  </si>
  <si>
    <t>Transit to Site and back</t>
  </si>
  <si>
    <t>On-Site Working</t>
  </si>
  <si>
    <t>Day-rate</t>
  </si>
  <si>
    <t># Days</t>
  </si>
  <si>
    <t xml:space="preserve"> - Cable Installation Vessel</t>
  </si>
  <si>
    <t xml:space="preserve"> - Support Vessel</t>
  </si>
  <si>
    <t xml:space="preserve"> -Cable Installation and Burial Tools</t>
  </si>
  <si>
    <t>Dayrates:</t>
  </si>
  <si>
    <t>At Dock Mob/Demob</t>
  </si>
  <si>
    <t>Loading Cable</t>
  </si>
  <si>
    <t>Transit</t>
  </si>
  <si>
    <t>Standby</t>
  </si>
  <si>
    <t>Cable Lay Ops</t>
  </si>
  <si>
    <t>Installation Process</t>
  </si>
  <si>
    <t>Mob/Demob CIV</t>
  </si>
  <si>
    <t>Load Cable</t>
  </si>
  <si>
    <t>Transit to Site</t>
  </si>
  <si>
    <t>Install Cable &amp; Surface Lay</t>
  </si>
  <si>
    <t>Cable Burial and S/E</t>
  </si>
  <si>
    <t>Transit to/from Home Port</t>
  </si>
  <si>
    <t>1 0-Unit</t>
  </si>
  <si>
    <t>50 Unit</t>
  </si>
  <si>
    <t>100 Unit</t>
  </si>
  <si>
    <t>Transit (5000 miles)</t>
  </si>
  <si>
    <t xml:space="preserve"> - Installation continously until complete</t>
  </si>
  <si>
    <t xml:space="preserve"> - 2 tugs (800-1500 HP)</t>
  </si>
  <si>
    <t xml:space="preserve"> - Crew Boat</t>
  </si>
  <si>
    <t xml:space="preserve"> - Shoreside support</t>
  </si>
  <si>
    <t xml:space="preserve"> - Workboat (the same as used for O&amp;M)</t>
  </si>
  <si>
    <t>Process</t>
  </si>
  <si>
    <t xml:space="preserve">Mob/Demob </t>
  </si>
  <si>
    <t>1 device per day</t>
  </si>
  <si>
    <t>10  Unit</t>
  </si>
  <si>
    <t xml:space="preserve">Notes: </t>
  </si>
  <si>
    <t xml:space="preserve"> - Same setup as Device Installation</t>
  </si>
  <si>
    <t>Percentage Rate</t>
  </si>
  <si>
    <t>Buoyancy</t>
  </si>
  <si>
    <t>1.1 Development</t>
  </si>
  <si>
    <t>1.2 Infrastructure</t>
  </si>
  <si>
    <t>1.3 Mooring/Foundation</t>
  </si>
  <si>
    <t>1.4 Device Structural Components</t>
  </si>
  <si>
    <t>1.5 Power Take Off</t>
  </si>
  <si>
    <t>1.7 Installation</t>
  </si>
  <si>
    <t>2.1 Insurance</t>
  </si>
  <si>
    <t>2.2 Environmental Monitoring and Regulatory Compliance</t>
  </si>
  <si>
    <t>2.3 Marine Operations</t>
  </si>
  <si>
    <t>2.4 Shoreside Operations</t>
  </si>
  <si>
    <t>2.5 Replacement Parts</t>
  </si>
  <si>
    <t>2.6 Consumables</t>
  </si>
  <si>
    <t>Vessel</t>
  </si>
  <si>
    <t>Per Diem</t>
  </si>
  <si>
    <t>Salary ($/year)</t>
  </si>
  <si>
    <t>Burden</t>
  </si>
  <si>
    <t># of Staff</t>
  </si>
  <si>
    <t>Staffing Costs ($/Year)</t>
  </si>
  <si>
    <t>Average</t>
  </si>
  <si>
    <t>Wage ($/hr)</t>
  </si>
  <si>
    <t>(%)</t>
  </si>
  <si>
    <t>years 1-5</t>
  </si>
  <si>
    <t>6-10</t>
  </si>
  <si>
    <t>11-15</t>
  </si>
  <si>
    <t>16-20</t>
  </si>
  <si>
    <t>Site Manager Salary</t>
  </si>
  <si>
    <t>Admin. Asst. Salary</t>
  </si>
  <si>
    <t>Sr. Tech Wage</t>
  </si>
  <si>
    <t>Jr. Tech Wage</t>
  </si>
  <si>
    <t>Additional Cost</t>
  </si>
  <si>
    <t>Dockside Rental</t>
  </si>
  <si>
    <t xml:space="preserve">Facilities Lease </t>
  </si>
  <si>
    <t xml:space="preserve"> - Ship Conversion including: (1) DP-1, Crane, Whinch, Delivery etc. </t>
  </si>
  <si>
    <t xml:space="preserve"> - Using new vessel, values come in between $4.09M and $5.65M</t>
  </si>
  <si>
    <t xml:space="preserve"> - Using used vessel, values are estimated between $2.09M and $3.1M</t>
  </si>
  <si>
    <t>$/day</t>
  </si>
  <si>
    <t>Boat (incl. 4 person crew)</t>
  </si>
  <si>
    <t>Additional Crew</t>
  </si>
  <si>
    <t>Crew Boat</t>
  </si>
  <si>
    <t>Fuel and Consumables</t>
  </si>
  <si>
    <t>Vessel of Opportunity - 12-hour dayrates for Devicve Retrieval, Mooring Repair and Cable Repair</t>
  </si>
  <si>
    <t>Vessel of Opportunity - 12-hour dayrates for Device Access and PTO Swap-out</t>
  </si>
  <si>
    <t>Permanent Crew Dayrate</t>
  </si>
  <si>
    <t>Number of Crew</t>
  </si>
  <si>
    <t>Average Hourly Rate</t>
  </si>
  <si>
    <t>Hours/Day</t>
  </si>
  <si>
    <t>Total Crew-day cost</t>
  </si>
  <si>
    <t>Inspect Mooring System using ROV</t>
  </si>
  <si>
    <t>Unscheduled Structural/Mooring/Riser Cable</t>
  </si>
  <si>
    <t>Device Recovery for shore-side overhaul</t>
  </si>
  <si>
    <t># of ops-days/year</t>
  </si>
  <si>
    <t>$/year</t>
  </si>
  <si>
    <t>$/kW-year</t>
  </si>
  <si>
    <t>Rebuild Hydraulic System and Oil Change</t>
  </si>
  <si>
    <t># Hydraulic System Replacements/Ops-day</t>
  </si>
  <si>
    <t># of Ops days/year</t>
  </si>
  <si>
    <t># of Interventions per device-year Requiring Device Recovery</t>
  </si>
  <si>
    <t># of Interventions per device-year requiring PTO retrieval</t>
  </si>
  <si>
    <t>Unscheduled PTO repairs</t>
  </si>
  <si>
    <t>Total Marine Ops Cost</t>
  </si>
  <si>
    <t>Failure Rates for Powertrain</t>
  </si>
  <si>
    <t># Failures / Year</t>
  </si>
  <si>
    <t>Cylinder</t>
  </si>
  <si>
    <t>Relief Valve</t>
  </si>
  <si>
    <t xml:space="preserve">Overhead </t>
  </si>
  <si>
    <t>Electrical Systems</t>
  </si>
  <si>
    <t>External Systems</t>
  </si>
  <si>
    <t>Moorings</t>
  </si>
  <si>
    <t>$/Unit</t>
  </si>
  <si>
    <t>L50</t>
  </si>
  <si>
    <t>$/Year</t>
  </si>
  <si>
    <t># Failures/Year</t>
  </si>
  <si>
    <t>Failure Rates for 100kW Reference Powertrain</t>
  </si>
  <si>
    <t xml:space="preserve"> - No design available for linear guides, estimated cost at 20% of PTO cost</t>
  </si>
  <si>
    <t>Linear Guides</t>
  </si>
  <si>
    <t>No redundancy</t>
  </si>
  <si>
    <t>Scaled Powertrain at Device Rated Capacity</t>
  </si>
  <si>
    <t>Scaled Powertrain at Device Rated Capacity in Mass Production (100-Unit Scale)</t>
  </si>
  <si>
    <t>Cost Progress Ratio</t>
  </si>
  <si>
    <t>Cost at Different Unit Scales</t>
  </si>
  <si>
    <t>Staffing Levels / Cost</t>
  </si>
  <si>
    <t>Consumables include</t>
  </si>
  <si>
    <t>Hydraulic Oil (replaced once per year)</t>
  </si>
  <si>
    <t>Low Pressure Filter</t>
  </si>
  <si>
    <t xml:space="preserve">High Pressure Filter </t>
  </si>
  <si>
    <t>$/year-device</t>
  </si>
  <si>
    <t>Inter-Device Cable Cost (included in 1.5)</t>
  </si>
  <si>
    <t>Control System</t>
  </si>
  <si>
    <t>Installed Cost</t>
  </si>
  <si>
    <t>RE Vision Estimate</t>
  </si>
  <si>
    <t>Actual cost breakdowns are provided in separate report by PNNL (average values carried forward to this spreadsheet)</t>
  </si>
  <si>
    <t xml:space="preserve"> - Bathimtric and Geophysical Survey</t>
  </si>
  <si>
    <t xml:space="preserve"> - Small site survey with dimensions of 3.5km x 1km one trunck cable corridor</t>
  </si>
  <si>
    <t xml:space="preserve"> - Large site survey with dimensions of 16.5km x 1km with trunck cable survey</t>
  </si>
  <si>
    <t xml:space="preserve"> - Includes: bathimetry, sub-bottom profiling, Magnetometer, Grab Samples, Underwater Video</t>
  </si>
  <si>
    <t>Design &amp; Engineering is taken as a percentage of total hard cost of the device</t>
  </si>
  <si>
    <t>Terminations and Connectors are difficult to estimate without a detailed design effort. Estimated them as 10% of Cable cost</t>
  </si>
  <si>
    <t>See notes above</t>
  </si>
  <si>
    <t>Total Installed Cost (omits Decommissioning)</t>
  </si>
  <si>
    <t>Mass - 100kW</t>
  </si>
  <si>
    <t xml:space="preserve">RE Vision Estimate </t>
  </si>
  <si>
    <t>RE Vision 100 KW Wave Power Hydraulic System Study</t>
  </si>
  <si>
    <t>Data Sources - Single Unit Scale</t>
  </si>
  <si>
    <t>- Costs have been estimated from a 100kW system design and scaled using the rated capacity of the RM3 device</t>
  </si>
  <si>
    <t>Data Sources - Commercial Scale (100-Units)</t>
  </si>
  <si>
    <t>Machine Cost</t>
  </si>
  <si>
    <t>RE Vision cost assessment</t>
  </si>
  <si>
    <t>See notes above in cost details</t>
  </si>
  <si>
    <t>RE Vision Esitmate</t>
  </si>
  <si>
    <t>RE Vision Estimae</t>
  </si>
  <si>
    <t xml:space="preserve">Cost of shore-side ops is estimated based on Windpact O&amp;M cost model provided by NREL (O&amp;M Cost Estimator_revA_22Jun2006.xls). Below are the assumptions on labor and consumables. It is assumed that the labor associated with repair are similar to wind. </t>
  </si>
  <si>
    <t>WindPACT study from NREL operation and matinence model</t>
  </si>
  <si>
    <t>Estimate from survey company</t>
  </si>
  <si>
    <t>Not estimated, but included in project contingency</t>
  </si>
  <si>
    <t>Only critical components that can not be made redundant are considered in failure rate</t>
  </si>
  <si>
    <t xml:space="preserve">Mooring L50 life considers that a mooring repair results only in partial replacement </t>
  </si>
  <si>
    <t>High level estimates based on similar projects</t>
  </si>
  <si>
    <t>Mean Wave Height (m)</t>
  </si>
  <si>
    <t>Wave Power Density (kW/m)</t>
  </si>
  <si>
    <t>LCoE - cents/kWh</t>
  </si>
  <si>
    <t>DRAFT :: Proposed CBS by NREL :: As of 1 Aug 2014 :: Future iterations expected :: Comments Welcome</t>
  </si>
  <si>
    <t>Draft Generalized Cost Breakdown Structure (CBS) for MHK Projects, with descriptions</t>
  </si>
  <si>
    <r>
      <rPr>
        <b/>
        <u/>
        <sz val="11"/>
        <color theme="1"/>
        <rFont val="Calibri"/>
        <family val="2"/>
        <scheme val="minor"/>
      </rPr>
      <t>Notes for Reviewers:</t>
    </r>
    <r>
      <rPr>
        <sz val="11"/>
        <color theme="1"/>
        <rFont val="Calibri"/>
        <family val="2"/>
        <scheme val="minor"/>
      </rPr>
      <t xml:space="preserve"> [1] Please review and provide comments on as much of the Cost Breakdown Strucuture (CBS) as possible. Building consensus on levels 1, 2 and 3 is most important, but your thoughts about levels 4 and 5 are also very valuable [2] Feel free to provide comments directly to the "Community Discussion" page on OpenEI (http://en.openei.org/community/group/water-power-forum) or by email to Ben Maples at NREL (Ben.Maples@nrel.gov)</t>
    </r>
  </si>
  <si>
    <t>NOTE: it is acceptable (and expected!) for some line items to be populated with a "0" or "NA", depending on the particular project</t>
  </si>
  <si>
    <t>Installed Capital Cost (ICC) [$/kW]</t>
  </si>
  <si>
    <t>CBS #</t>
  </si>
  <si>
    <t>Level</t>
  </si>
  <si>
    <t>Description</t>
  </si>
  <si>
    <t>Capital Expenditures (CAPEX)</t>
  </si>
  <si>
    <t>All installed costs incurred prior to commercial operations date (COD). CAPEX components include marine energy converter, balance of system, and financing.</t>
  </si>
  <si>
    <t xml:space="preserve">    Marine Energy Converter (MEC)</t>
  </si>
  <si>
    <t>Converts kinetic energy from water into three phase alternating current (AC) electrical energy.</t>
  </si>
  <si>
    <t xml:space="preserve">       Structural Assembly</t>
  </si>
  <si>
    <t>Primary energy capture (e.g. float paddle, turbine, flap, etc.) and supporting structural components.</t>
  </si>
  <si>
    <t xml:space="preserve">            Primary Energy Capture</t>
  </si>
  <si>
    <t>Primary energy capture (e.g. float paddle, turbine, flap, etc.).</t>
  </si>
  <si>
    <t xml:space="preserve">            Additional Structural Components</t>
  </si>
  <si>
    <t>Any additional supporting structural components not included in the Structure category.</t>
  </si>
  <si>
    <t xml:space="preserve">            Marine Systems </t>
  </si>
  <si>
    <t>Ancillary systems on the marine energy converter (MEC) device.</t>
  </si>
  <si>
    <t>1.1.1.3.1</t>
  </si>
  <si>
    <t xml:space="preserve">                Personnel Access System (Device Access)</t>
  </si>
  <si>
    <t>Additional components on marine energy converter (MEC) device to support personnel access.</t>
  </si>
  <si>
    <t>1.1.1.3.2</t>
  </si>
  <si>
    <t xml:space="preserve">                Ballast System</t>
  </si>
  <si>
    <t>Ballast to control draft/stability of floating systems, ballast can be fixed or variable (active or passive).</t>
  </si>
  <si>
    <t>1.1.1.3.3</t>
  </si>
  <si>
    <t xml:space="preserve">                Navigation Lighting</t>
  </si>
  <si>
    <t>Navigation lighting placed on the structure of the marine energy converter (MEC).</t>
  </si>
  <si>
    <t xml:space="preserve">            Control &amp; Communication System (SCADA)</t>
  </si>
  <si>
    <t>Connects the marine energy converter (MEC) device with an onshore operations center, provides water project operator with information about the status of MEC systems and allows remote control of some functions.</t>
  </si>
  <si>
    <t>1.1.1.4.1</t>
  </si>
  <si>
    <t xml:space="preserve">                Marine Energy Converter (MEC) Controller</t>
  </si>
  <si>
    <t>Control capabilities of various marine energy converter (MEC) components.</t>
  </si>
  <si>
    <t>1.1.1.4.2</t>
  </si>
  <si>
    <t xml:space="preserve">               Communication System  </t>
  </si>
  <si>
    <t>Analog I/O unit, digital I/O unit, Ethernet module, field bus master, field bus slave, frequency unit, controller internal communication system.</t>
  </si>
  <si>
    <t>1.1.1.4.3</t>
  </si>
  <si>
    <t xml:space="preserve">              Condition Monitoring System (CMS)</t>
  </si>
  <si>
    <t>Sensors, cables, data logger, protocol adapter card for data logger.</t>
  </si>
  <si>
    <t>1.1.1.4.4</t>
  </si>
  <si>
    <t xml:space="preserve">              Ancillary Equipment</t>
  </si>
  <si>
    <t>Cables, connectors, contactor/circuit breaker fuse.</t>
  </si>
  <si>
    <t>1.1.1.4.5</t>
  </si>
  <si>
    <t xml:space="preserve">              Marine Energy Converter (MEC) Plant Control Equipment</t>
  </si>
  <si>
    <t>Any advanced marine energy converter (MEC) plant control equipment installed on the device or distributed throughout the plant.</t>
  </si>
  <si>
    <t>1.1.1.5</t>
  </si>
  <si>
    <t xml:space="preserve">           Coatings</t>
  </si>
  <si>
    <t>Coatings to protect from corrosion in marine environment.</t>
  </si>
  <si>
    <t>1.1.1.6</t>
  </si>
  <si>
    <t xml:space="preserve">            Transportation of Structure</t>
  </si>
  <si>
    <t>Costs of transporting the marine energy converter (MEC) structure components from the manufacturing facility to the staging area.</t>
  </si>
  <si>
    <t xml:space="preserve">        Power Conversion Chain (PCC)</t>
  </si>
  <si>
    <t>Power conversion chain is comprised of a drivetrain (converts the energy captured by the device into mechanical power), a generator (converts mechanical power into electrical power), short term storage, and power electronics.</t>
  </si>
  <si>
    <t>1.1.2.1</t>
  </si>
  <si>
    <t xml:space="preserve">            PCC Structural Assembly</t>
  </si>
  <si>
    <t>Main structure of the power conversion chain.</t>
  </si>
  <si>
    <t>1.1.2.2</t>
  </si>
  <si>
    <t xml:space="preserve">            Drivetrain (i.e., Prime Mover)</t>
  </si>
  <si>
    <t>Components of the power conversion chain (PCC) to transfer mechanical energy.</t>
  </si>
  <si>
    <t>1.1.2.2.1</t>
  </si>
  <si>
    <t xml:space="preserve">                Gearbox</t>
  </si>
  <si>
    <t>Provides speed and torque conversion between the primary energy capture device and the generator.  Only applicable for geared designs.</t>
  </si>
  <si>
    <t>1.1.2.2.1.1</t>
  </si>
  <si>
    <t xml:space="preserve">    Gears</t>
  </si>
  <si>
    <t>Planet carrier, planet gear, ring gear, sun gear, spur gear, hollow shaft.</t>
  </si>
  <si>
    <t>1.1.2.2.1.2</t>
  </si>
  <si>
    <t xml:space="preserve">    Bearings</t>
  </si>
  <si>
    <t>Planet bearing, carrier bearing, shaft bearing.</t>
  </si>
  <si>
    <t>1.1.2.2.1.3</t>
  </si>
  <si>
    <t xml:space="preserve">    Housing</t>
  </si>
  <si>
    <t>Bushing, case, mounting, torque arm system.</t>
  </si>
  <si>
    <t>1.1.2.2.1.4</t>
  </si>
  <si>
    <t xml:space="preserve">    Sensors</t>
  </si>
  <si>
    <t>Debris sensors, oil level sensors, pressure 1 &amp; pressure 2 sensors, and temperature sensor.</t>
  </si>
  <si>
    <t>1.1.2.2.1.5</t>
  </si>
  <si>
    <t xml:space="preserve">    Lube System</t>
  </si>
  <si>
    <t>Primary filter, secondary filter, primary motor, primary pump, hose/fitting, seal, and reservoir.</t>
  </si>
  <si>
    <t>1.1.2.2.1.6</t>
  </si>
  <si>
    <t xml:space="preserve">    Cooling System</t>
  </si>
  <si>
    <t>Pump, radiator, hoses.</t>
  </si>
  <si>
    <t>1.1.2.3</t>
  </si>
  <si>
    <t xml:space="preserve">            Hydraulic System</t>
  </si>
  <si>
    <t>Hydraulic system to transfer mechanical energy from marine energy converter to electrical energy.</t>
  </si>
  <si>
    <t>1.1.2.3.1</t>
  </si>
  <si>
    <t xml:space="preserve">                Hydraulic Motor</t>
  </si>
  <si>
    <t>Motor to supply electrical power to hydraulic system</t>
  </si>
  <si>
    <t>1.1.2.3.2</t>
  </si>
  <si>
    <t xml:space="preserve">                Hydraulic Reservoir</t>
  </si>
  <si>
    <t>Reservoir to contain hydraulic fluid.</t>
  </si>
  <si>
    <t>1.1.2.4</t>
  </si>
  <si>
    <t xml:space="preserve">        Electrical Assembly</t>
  </si>
  <si>
    <t>Power off-take system elements.</t>
  </si>
  <si>
    <t>1.1.2.4.1</t>
  </si>
  <si>
    <t xml:space="preserve">            Generator</t>
  </si>
  <si>
    <t>Converts mechanical energy to electrical energy.</t>
  </si>
  <si>
    <t>1.1.2.4.1.1</t>
  </si>
  <si>
    <t>Hoses, filter, cooling fan, motor, radiator.</t>
  </si>
  <si>
    <t>1.1.2.4.1.2</t>
  </si>
  <si>
    <t xml:space="preserve">    Lubrication System</t>
  </si>
  <si>
    <t>Pump, pump motor, reservoir.</t>
  </si>
  <si>
    <t>1.1.2.4.1.3</t>
  </si>
  <si>
    <t xml:space="preserve">    Rotor</t>
  </si>
  <si>
    <t>Commentator, exciter, resistance controller, rotor lamination, rotor winding, slip ring, rotor magnets, brush.</t>
  </si>
  <si>
    <t>1.1.2.4.1.4</t>
  </si>
  <si>
    <t>Core temperature sensor, encoder, watt meter.</t>
  </si>
  <si>
    <t>1.1.2.4.1.5</t>
  </si>
  <si>
    <t xml:space="preserve">    Stator</t>
  </si>
  <si>
    <t>Stator magnets, stator lamination, stator windings.</t>
  </si>
  <si>
    <t>1.1.2.4.1.6</t>
  </si>
  <si>
    <t xml:space="preserve">    Structural &amp; Mechanical </t>
  </si>
  <si>
    <t>Front bearing, rear bearing, silent block, housing, and shaft.</t>
  </si>
  <si>
    <t>1.1.2.5</t>
  </si>
  <si>
    <t xml:space="preserve">            Frequency Converter</t>
  </si>
  <si>
    <t>Coverts variable frequency from asynchronous generator to grid-compliant power of the right ‘quality' and with a stable frequency of either 50 Hz or 60 Hz.</t>
  </si>
  <si>
    <t>1.1.2.5.1</t>
  </si>
  <si>
    <t xml:space="preserve">                Converter Auxiliaries </t>
  </si>
  <si>
    <t>Power supply, cabinet, heating system, cabinet sensor, communication &amp; interface unit, control board, generator side fan, grid side fan, measurement unit, power supply, power supply 24 V, tachometer adapter, thermostat.</t>
  </si>
  <si>
    <t>1.1.2.5.2</t>
  </si>
  <si>
    <t xml:space="preserve">                 Converter Power Bus</t>
  </si>
  <si>
    <t>Branching unit, capacitors, contactors, generator side converter, generator side power module, grid side converter, grid side power module, inductor, load switch, pre-charge unit.</t>
  </si>
  <si>
    <t>1.1.2.5.3</t>
  </si>
  <si>
    <t xml:space="preserve">                 Power Conditioning </t>
  </si>
  <si>
    <t>Common mode filter, crowbar system, DC chopper, generator side filter, line filter assembly, voltage limit unit.</t>
  </si>
  <si>
    <t>1.1.2.6</t>
  </si>
  <si>
    <t xml:space="preserve">            Short-Tem Energy Storage</t>
  </si>
  <si>
    <t>Temporary storage of electrical energy.</t>
  </si>
  <si>
    <t>1.1.2.7</t>
  </si>
  <si>
    <t xml:space="preserve">            Power Electrical System</t>
  </si>
  <si>
    <t>System to covert generator voltage to array cable system voltage for collection.</t>
  </si>
  <si>
    <t>1.1.2.7.1</t>
  </si>
  <si>
    <t xml:space="preserve">                 Power Circuit</t>
  </si>
  <si>
    <t>Insulated-gate bipolar transistor (IGBT) module, rectifier bridge, crowbar system, driver/control board, cables, machine contractor, M Busbar/Isolator/Circuit Breaker, M Switchgear/Disconnect, motor contractor, soft starter, grounding system.</t>
  </si>
  <si>
    <t>1.1.2.7.2</t>
  </si>
  <si>
    <t xml:space="preserve">                Main Transformer</t>
  </si>
  <si>
    <t>Main marine energy converter transformer.</t>
  </si>
  <si>
    <t>1.1.2.7.3</t>
  </si>
  <si>
    <t xml:space="preserve">                Measurements</t>
  </si>
  <si>
    <t>Equipment to measure the function of the power electric system.</t>
  </si>
  <si>
    <t>1.1.2.7.4</t>
  </si>
  <si>
    <t xml:space="preserve">                Switchgear</t>
  </si>
  <si>
    <t>Marine energy converter switchgear.</t>
  </si>
  <si>
    <t>1.1.2.8</t>
  </si>
  <si>
    <t xml:space="preserve">            Coatings</t>
  </si>
  <si>
    <t>1.1.2.9</t>
  </si>
  <si>
    <t xml:space="preserve">            Transportation of Power Conversion Chain</t>
  </si>
  <si>
    <t>Costs of transporting the marine energy converter (MEC) power conversion chain (PCC) components from the manufacturing facility to the staging area.</t>
  </si>
  <si>
    <t xml:space="preserve">    Balance of System</t>
  </si>
  <si>
    <t>Balance of equipment, labor, and material costs (other than marine energy converter) incurred prior to commercial operation date (COD).</t>
  </si>
  <si>
    <t xml:space="preserve">        Development</t>
  </si>
  <si>
    <t>All activities from project inception to financial close, where financial close is the date when project and financing agreements have been signed and all the required conditions  have been met.</t>
  </si>
  <si>
    <t>1.2.1.1</t>
  </si>
  <si>
    <t xml:space="preserve">            Permitting &amp; Leasing</t>
  </si>
  <si>
    <t>Acquisition of permits and leases required for site assessment, construction, and operation at the project site.</t>
  </si>
  <si>
    <t>1.2.1.1.1</t>
  </si>
  <si>
    <t xml:space="preserve">                Permit Acquisition Activities </t>
  </si>
  <si>
    <t>Activities necessary to obtain permits from relevant authorities.</t>
  </si>
  <si>
    <t>1.2.1.1.2</t>
  </si>
  <si>
    <t xml:space="preserve">                Lease Acquisition Activities</t>
  </si>
  <si>
    <t>Activities necessary to obtain commercial or research lease to operate the project from relevant authorities.</t>
  </si>
  <si>
    <t>1.2.1.1.3</t>
  </si>
  <si>
    <t xml:space="preserve">                Public Outreach</t>
  </si>
  <si>
    <t>Stakeholder education, marketing, and other efforts to facilitate public acceptance of a project.</t>
  </si>
  <si>
    <t>1.2.1.2</t>
  </si>
  <si>
    <t xml:space="preserve">            Professional Advisory Services</t>
  </si>
  <si>
    <t>Legal support, external consultants, accounting, etc., during development.</t>
  </si>
  <si>
    <t>1.2.1.3</t>
  </si>
  <si>
    <t xml:space="preserve">            Initial Engineering</t>
  </si>
  <si>
    <t>Engineering studies to specify the design of the project (e.g., technology, layout) and understand economics and risks associated with the design.</t>
  </si>
  <si>
    <t>1.2.1.3.1</t>
  </si>
  <si>
    <t xml:space="preserve">                Pre-FEED</t>
  </si>
  <si>
    <t>Preliminary engineering design studies to develop general design of project, identify a short list of technologies for further evaluation, and identify fatal flaws.</t>
  </si>
  <si>
    <t>1.2.1.3.2</t>
  </si>
  <si>
    <t xml:space="preserve">                FEED</t>
  </si>
  <si>
    <t>Engineering activities to develop final design specification, address areas of risk/uncertainty, determine technical &amp; economic feasibility, and develop  necessary specifications to begin procurement process. (20% to 30% design level). Additional engineering (preliminary, detailed, final) are covered in Engineering and Management.</t>
  </si>
  <si>
    <t>1.2.1.3.3</t>
  </si>
  <si>
    <t xml:space="preserve">                 Engineering Certification</t>
  </si>
  <si>
    <t>Review by 3rd party, independent verification agent to assess feasibility of design basis, resulting in Certification Report.</t>
  </si>
  <si>
    <t>1.2.1.4</t>
  </si>
  <si>
    <t xml:space="preserve">            Site Characterization</t>
  </si>
  <si>
    <t>Equipment, material and labor costs required for collecting/analysis of wind resource, ocean conditions, and geological data at project site. Defines parameters for engineering assessments as data becomes available.</t>
  </si>
  <si>
    <t>1.2.1.4.1</t>
  </si>
  <si>
    <t xml:space="preserve">                Siting &amp; Scoping</t>
  </si>
  <si>
    <t>Initial desktop-level studies to select project location, develop a conceptual design, identify regulatory requirements, and create preliminary business case.</t>
  </si>
  <si>
    <t>1.2.1.4.2</t>
  </si>
  <si>
    <t xml:space="preserve">                Studies &amp; Surveys</t>
  </si>
  <si>
    <t>Environmental and social surveys/studies required by regulators or otherwise necessary for the project.</t>
  </si>
  <si>
    <t>1.2.1.4.3</t>
  </si>
  <si>
    <t xml:space="preserve">                Water Monitoring Stations </t>
  </si>
  <si>
    <t>Buoys, benthic node, Acoustic Doppler Current Profilers, instrumentation (meteorological and oceanographic), and data acquisition systems.</t>
  </si>
  <si>
    <t>1.2.1.4.4</t>
  </si>
  <si>
    <t xml:space="preserve">                Water Monitoring  Installation </t>
  </si>
  <si>
    <t>Vessels, labor, and equipment required to install instrumentation and data acquisition system.</t>
  </si>
  <si>
    <t>1.2.1.4.5</t>
  </si>
  <si>
    <t xml:space="preserve">                Water Resource Analysis </t>
  </si>
  <si>
    <t>Collection, cleaning, and analysis of data to develop water resource profile and power production estimates for a selection of marine energy converter types at project site. May include array layout optimization surveys.</t>
  </si>
  <si>
    <t>1.2.1.4.6</t>
  </si>
  <si>
    <t xml:space="preserve">                Geotechnical &amp; Geophysical Surveys</t>
  </si>
  <si>
    <t>Vessels, labor, and equipment required to establish bathymetry, seabed features, water depth, stratigraphy, and identify hazards on seafloor. Performed for project site and potential cable routes to interconnection.</t>
  </si>
  <si>
    <t>1.2.1.5</t>
  </si>
  <si>
    <t xml:space="preserve">            Interconnection &amp; Power Marketing</t>
  </si>
  <si>
    <t>Activities to gain access to the transmission grid and negotiate contracts to sell or otherwise market  power.</t>
  </si>
  <si>
    <t>1.2.1.5.1</t>
  </si>
  <si>
    <t xml:space="preserve">                Interconnection Studies &amp; Fees</t>
  </si>
  <si>
    <t>Activities required to obtain a Large Generator Interconnection Agreement from Federal Energy Regulatory Commission (FERC), prepared in coordination with transmission system operator. Studies cover technical considerations of interconnecting project with grid, while maintaining system balance and within grid operating limits.</t>
  </si>
  <si>
    <t>1.2.1.5.2</t>
  </si>
  <si>
    <t xml:space="preserve">                Transmission Rights of Way</t>
  </si>
  <si>
    <t>Costs of obtaining or expanding transmission rights of way for any onshore electric infrastructure (e.g., overhead transmission lines), includes any costs to permit onshore transmission.</t>
  </si>
  <si>
    <t>1.2.1.5.3</t>
  </si>
  <si>
    <t xml:space="preserve">                Power Marketing </t>
  </si>
  <si>
    <t>Efforts to develop power marketing strategy, forecast pricing, and negotiate Power Purchase Agreements (PPAs).</t>
  </si>
  <si>
    <t>1.2.1.6</t>
  </si>
  <si>
    <t xml:space="preserve">            Project Management During Development</t>
  </si>
  <si>
    <t>Project Management from the start of the development phase through financial close.</t>
  </si>
  <si>
    <t>1.2.1.6.1</t>
  </si>
  <si>
    <t xml:space="preserve">                Procurement</t>
  </si>
  <si>
    <t>Preparation of tenders for each work package, evaluation of bids, negotiations with suppliers.</t>
  </si>
  <si>
    <t>1.2.1.6.2</t>
  </si>
  <si>
    <t xml:space="preserve">                Salaries</t>
  </si>
  <si>
    <t>Salaries for management and support staff on payroll of developer, some overlap with categories above is expected, depending on amount of work that is completed internally vs. contracted.</t>
  </si>
  <si>
    <t>1.2.1.6.3</t>
  </si>
  <si>
    <t xml:space="preserve">               Sales, General, &amp; Administrative</t>
  </si>
  <si>
    <t>Overhead for the project company including administrative salaries and benefits, rent, utilities, depreciation, insurance, etc.</t>
  </si>
  <si>
    <t>1.2.1.6.4</t>
  </si>
  <si>
    <t xml:space="preserve">               Profit (if private developer)</t>
  </si>
  <si>
    <t>Any margin earned by the developer upon sale of the project at financial close, does not include the cost to a new owner of any stake that a developer might retain in the  project.</t>
  </si>
  <si>
    <t>1.2.1.7</t>
  </si>
  <si>
    <t xml:space="preserve">            Financing and Incentives</t>
  </si>
  <si>
    <t>Fees, closing costs, and staff and consultant efforts to arrange and secure equity, debt financing, and government incentives.</t>
  </si>
  <si>
    <t>1.2.1.7.1</t>
  </si>
  <si>
    <t xml:space="preserve">              Due Diligence </t>
  </si>
  <si>
    <t>Activities performed by potential investors to investigate technical and economic aspects of the project and estimate value prior to executing a financial commitment. Typically conducted by 3rd party technical consultant(s) hired by investor(s).</t>
  </si>
  <si>
    <t>1.2.1.7.2</t>
  </si>
  <si>
    <t xml:space="preserve">              Incentives</t>
  </si>
  <si>
    <t>Efforts performed by the developer to secure and demonstrate qualification for  local, state, and federal incentives.</t>
  </si>
  <si>
    <t>1.2.1.7.3</t>
  </si>
  <si>
    <t xml:space="preserve">              Closing Costs</t>
  </si>
  <si>
    <t>Administrative costs incurred by investors (debt and equity) during the evaluation of the investment.</t>
  </si>
  <si>
    <t>1.2.1.7.4</t>
  </si>
  <si>
    <t xml:space="preserve">              Legal Support</t>
  </si>
  <si>
    <t>Developer's legal support to during negotiations to arrange financing.</t>
  </si>
  <si>
    <t xml:space="preserve">        Engineering and Management</t>
  </si>
  <si>
    <t>Engineering and management activities from financial close through commercial operation date (COD).</t>
  </si>
  <si>
    <t>1.2.2.1</t>
  </si>
  <si>
    <t xml:space="preserve">            Detailed Design and Construction Engineering</t>
  </si>
  <si>
    <t>Detailed design and construction engineering costs.</t>
  </si>
  <si>
    <t>1.2.2.2</t>
  </si>
  <si>
    <t xml:space="preserve">            Procurement Management</t>
  </si>
  <si>
    <t>Bid management, purchasing, negotiations, contract management.</t>
  </si>
  <si>
    <t>1.2.2.3</t>
  </si>
  <si>
    <t xml:space="preserve">            Construction Management</t>
  </si>
  <si>
    <t>Quality control and assurance.</t>
  </si>
  <si>
    <t>1.2.2.3.1</t>
  </si>
  <si>
    <t>Salaries for management and support staff on payroll of project owner and/or construction manager.</t>
  </si>
  <si>
    <t>1.2.2.3.2</t>
  </si>
  <si>
    <t xml:space="preserve">                Sales, General, &amp; Administrative</t>
  </si>
  <si>
    <t>Overhead for the project company  and/or construction manager including administrative salaries and benefits, rent, utilities, depreciation, insurance, etc.</t>
  </si>
  <si>
    <t>1.2.2.3.3</t>
  </si>
  <si>
    <t xml:space="preserve">                Profit </t>
  </si>
  <si>
    <t>Any margin earned by an independent construction management firm.</t>
  </si>
  <si>
    <t>1.2.2.4</t>
  </si>
  <si>
    <t xml:space="preserve">            Project Certification</t>
  </si>
  <si>
    <t>Review by a 3rd party independent verification agent to assure that project is in compliance with design basis as well as technical standards and regulatory requirements. Results in project certificate.</t>
  </si>
  <si>
    <t>1.2.2.5</t>
  </si>
  <si>
    <t xml:space="preserve">            Health, Safety, &amp; Environmental Monitoring</t>
  </si>
  <si>
    <t>Coordination and monitoring to ensure compliance with health, safety, and environmental monitoring requirements during construction.</t>
  </si>
  <si>
    <t>1.2.2.5.1</t>
  </si>
  <si>
    <t xml:space="preserve">                Health and Safety Monitoring</t>
  </si>
  <si>
    <t>Coordination and monitoring to ensure compliance with health and safety requirements during construction.</t>
  </si>
  <si>
    <t>1.2.2.5.2</t>
  </si>
  <si>
    <t xml:space="preserve">                Environmental Monitoring</t>
  </si>
  <si>
    <t>Coordination and monitoring to ensure compliance with environmental requirement during construction.</t>
  </si>
  <si>
    <t xml:space="preserve">        Electrical Infrastructure</t>
  </si>
  <si>
    <t>All electrical infrastructure to collect power from generators and deliver to the grid.</t>
  </si>
  <si>
    <t>1.2.3.1</t>
  </si>
  <si>
    <t xml:space="preserve">            Array Cable System</t>
  </si>
  <si>
    <t>Collects power generated by the marine energy converter(s) and transports to the offshore substation(s).</t>
  </si>
  <si>
    <t>1.2.3.1.1</t>
  </si>
  <si>
    <t xml:space="preserve">                Array Cables</t>
  </si>
  <si>
    <t>High- or medium-voltage cable to connect the marine energy converters (MECs) with offshore substation or export MEC.</t>
  </si>
  <si>
    <t>1.2.3.1.2</t>
  </si>
  <si>
    <t xml:space="preserve">                Protection</t>
  </si>
  <si>
    <t>Equipment and materials used to protect cable from damage (strikes, over-bending, etc.)</t>
  </si>
  <si>
    <t>1.2.3.1.2.1</t>
  </si>
  <si>
    <t xml:space="preserve">    Scour Protection  </t>
  </si>
  <si>
    <t>Rock fill, sand bags, or concrete mattresses to protect from scouring, used where burial is not possible.</t>
  </si>
  <si>
    <t>1.2.3.1.2.2</t>
  </si>
  <si>
    <t xml:space="preserve">    Seabed Protection Mats</t>
  </si>
  <si>
    <t>Concrete, sand bags, polyurethane mats to route cables over existing electric/telecommunications cables.</t>
  </si>
  <si>
    <t>1.2.3.1.2.3</t>
  </si>
  <si>
    <t xml:space="preserve">    Ducting System</t>
  </si>
  <si>
    <t>Protective sheath that can be fitted around cables where burial is not an option.</t>
  </si>
  <si>
    <t>1.2.3.1.2.4</t>
  </si>
  <si>
    <t xml:space="preserve">    Bend Restrictors </t>
  </si>
  <si>
    <t>Prevents the over-bending of static cables during installation and operations.</t>
  </si>
  <si>
    <t>1.2.3.1.2.5</t>
  </si>
  <si>
    <t xml:space="preserve">    Bend Stiffeners</t>
  </si>
  <si>
    <t>Limit bending stresses and maintain acceptable curvature for dynamic cables at hang off point and touch down.</t>
  </si>
  <si>
    <t>1.2.3.1.3</t>
  </si>
  <si>
    <t xml:space="preserve">                Ancillary Equipment</t>
  </si>
  <si>
    <t>Other elements providing necessary functions to the array cable system.</t>
  </si>
  <si>
    <t>1.2.3.1.3.1</t>
  </si>
  <si>
    <t xml:space="preserve">    Termination Kit</t>
  </si>
  <si>
    <t>Necessary components to for connection of array cable to each marine energy converter (MEC) transformer.</t>
  </si>
  <si>
    <t>1.2.3.1.3.2</t>
  </si>
  <si>
    <t xml:space="preserve">    Connectors</t>
  </si>
  <si>
    <t>Equipment to connect individual sections of cable together, in the event of long cable runs or damage.</t>
  </si>
  <si>
    <t>1.2.3.1.3.3</t>
  </si>
  <si>
    <t xml:space="preserve">    Buoyancy Modules</t>
  </si>
  <si>
    <t>Used to manage buoyancy in some dynamic cable configurations and control load transfer.</t>
  </si>
  <si>
    <t>1.2.3.1.3.4</t>
  </si>
  <si>
    <t xml:space="preserve">    Anchorage</t>
  </si>
  <si>
    <t>Used to maintain the station of dynamic cable at touchdown point.</t>
  </si>
  <si>
    <t>1.2.3.1.3.5</t>
  </si>
  <si>
    <t xml:space="preserve">    Messenger Lines &amp; Buoys</t>
  </si>
  <si>
    <t>Ancillary equipment used during the installation of static and dynamic cable systems.</t>
  </si>
  <si>
    <t>1.2.3.1.3.6</t>
  </si>
  <si>
    <t xml:space="preserve">    Array Cable System Commissioning</t>
  </si>
  <si>
    <t> Process of assuring that all array cable systems and components are operational through a predefined series of tests and checks.</t>
  </si>
  <si>
    <t>1.2.3.1.4</t>
  </si>
  <si>
    <t xml:space="preserve">                Array Cable System Transportation</t>
  </si>
  <si>
    <t>Costs of transporting the array cable components from the manufacturing facility to the staging area</t>
  </si>
  <si>
    <t>1.2.3.2</t>
  </si>
  <si>
    <t xml:space="preserve">            Export Cable System</t>
  </si>
  <si>
    <t xml:space="preserve">Export cables and associated infrastructure to connect marine energy converter(s) or offshore substation(s) with onshore electric infrastructure or offshore convertor station(s) if using direct current (DC). </t>
  </si>
  <si>
    <t>1.2.3.2.1</t>
  </si>
  <si>
    <t xml:space="preserve">                Export Cables </t>
  </si>
  <si>
    <t>High- or medium-voltage cable to connect marine energy converter (MEC) or offshore substations with onshore electric infrastructure or offshore convertor station (if DC).</t>
  </si>
  <si>
    <t>1.2.3.2.2</t>
  </si>
  <si>
    <t xml:space="preserve">               Protection</t>
  </si>
  <si>
    <t>1.2.3.2.2.1</t>
  </si>
  <si>
    <t>1.2.3.2.2.2</t>
  </si>
  <si>
    <t>1.2.3.2.2.3</t>
  </si>
  <si>
    <t>1.2.3.2.2.4</t>
  </si>
  <si>
    <t>1.2.3.2.2.5</t>
  </si>
  <si>
    <t>1.2.3.2.3</t>
  </si>
  <si>
    <t>Other elements providing necessary functions to the export cable system.</t>
  </si>
  <si>
    <t>1.2.3.2.3.1</t>
  </si>
  <si>
    <t>Necessary components for connection of cable to substation and to onshore electric infrastructure.</t>
  </si>
  <si>
    <t>1.2.3.2.3.2</t>
  </si>
  <si>
    <t>1.2.3.2.3.3</t>
  </si>
  <si>
    <t>1.2.3.2.3.4</t>
  </si>
  <si>
    <t>1.2.3.2.3.5</t>
  </si>
  <si>
    <t>1.2.3.2.4</t>
  </si>
  <si>
    <t xml:space="preserve">                Export Cable System Transportation</t>
  </si>
  <si>
    <t>Costs of transporting the export cable components from the manufacturing facility to the staging area.</t>
  </si>
  <si>
    <t>1.2.3.3</t>
  </si>
  <si>
    <t xml:space="preserve">            Offshore Substation(s) </t>
  </si>
  <si>
    <t>Electric conversion equipment required to step-up or convert power for export to the onshore grid and support structure,  also onboard work platforms, accommodation, equipment storage, helicopter access, etc.</t>
  </si>
  <si>
    <t>1.2.3.3.1</t>
  </si>
  <si>
    <t xml:space="preserve">                Topside </t>
  </si>
  <si>
    <t>Structure that provides support and climate controlled housing for electrical conversion equipment, also can provide work platforms, accommodation, equipment storage, helicopter access, etc.</t>
  </si>
  <si>
    <t>1.2.3.3.1.1</t>
  </si>
  <si>
    <t xml:space="preserve">    Structure</t>
  </si>
  <si>
    <t>Material, equipment, and labor costs of fabricating structural steel or concrete structure.</t>
  </si>
  <si>
    <t>1.2.3.3.1.2</t>
  </si>
  <si>
    <t xml:space="preserve">    Helicopter Deck</t>
  </si>
  <si>
    <t>Onboard helicopter landing platform.</t>
  </si>
  <si>
    <t>1.2.3.3.1.3</t>
  </si>
  <si>
    <t xml:space="preserve">    Accommodations</t>
  </si>
  <si>
    <t>Refuge, temporary, or permanent accommodations for project personnel.</t>
  </si>
  <si>
    <t>1.2.3.3.1.4</t>
  </si>
  <si>
    <t xml:space="preserve">    Outfitting Steel</t>
  </si>
  <si>
    <t>Additional non-structural elements attached to the primary structure.</t>
  </si>
  <si>
    <t>1.2.3.3.1.5</t>
  </si>
  <si>
    <t xml:space="preserve">    Topside Marine Systems </t>
  </si>
  <si>
    <t>Ancillary systems required for marine operations.</t>
  </si>
  <si>
    <t>1.2.3.3.1.6</t>
  </si>
  <si>
    <t xml:space="preserve">    Substation Topside Integration, Assembly, Test, and Checkout</t>
  </si>
  <si>
    <t>Activities performed by manufacturer to integrate, assemble, test, and checkout (IATC) the Substation Topside before  delivery to customer. Does not include commissioning activities.</t>
  </si>
  <si>
    <t>1.2.3.3.1.7</t>
  </si>
  <si>
    <t xml:space="preserve">    Transportation</t>
  </si>
  <si>
    <t>Costs to transport substation topside from manufacturer to staging port.</t>
  </si>
  <si>
    <t>1.2.3.3.2</t>
  </si>
  <si>
    <t xml:space="preserve">                Substructure &amp; Foundation</t>
  </si>
  <si>
    <t>All elements of the offshore substation below the point of connection with the topside.</t>
  </si>
  <si>
    <t>1.2.3.3.2.1</t>
  </si>
  <si>
    <t xml:space="preserve">    Foundation</t>
  </si>
  <si>
    <t>Main structural interface that transfers the loads into the seabed.</t>
  </si>
  <si>
    <t>1.2.3.3.2.2</t>
  </si>
  <si>
    <t xml:space="preserve">    Substructure </t>
  </si>
  <si>
    <t>Main structure that connects the foundation to the substation topside.</t>
  </si>
  <si>
    <t>1.2.3.3.2.3</t>
  </si>
  <si>
    <t xml:space="preserve">    Substructure Marine Systems</t>
  </si>
  <si>
    <t>Ancillary systems for marine operations, major element is the ballast system for floating offshore substations.</t>
  </si>
  <si>
    <t>1.2.3.3.2.4</t>
  </si>
  <si>
    <t xml:space="preserve">    Scour Protection</t>
  </si>
  <si>
    <t>Rock fill or concrete mattresses to protect substructures from scouring  at point of connection to seafloor.</t>
  </si>
  <si>
    <t>1.2.3.3.2.5</t>
  </si>
  <si>
    <t xml:space="preserve">    Substation Substructure &amp; Foundation Integration, Assembly, Testing, and Checkout</t>
  </si>
  <si>
    <t>Activities performed by manufacturer to integrate, assemble, test, and checkout (IATC) the Substation Substructure &amp; Foundation before delivery to customer. Does not include commissioning activities.</t>
  </si>
  <si>
    <t>1.2.3.3.2.6</t>
  </si>
  <si>
    <t>1.2.3.3.3</t>
  </si>
  <si>
    <t xml:space="preserve">                Electrical Conversion Equipment</t>
  </si>
  <si>
    <t xml:space="preserve">Equipment to step up power from array cable voltage to the export voltage and/or to convert power to DC </t>
  </si>
  <si>
    <t>1.2.3.3.3.1</t>
  </si>
  <si>
    <t xml:space="preserve">    AC Transformers</t>
  </si>
  <si>
    <t>Power convertors that step up generated power from array cable voltage to export voltage</t>
  </si>
  <si>
    <t>1.2.3.3.3.2</t>
  </si>
  <si>
    <t xml:space="preserve">    High Voltage Switchgear </t>
  </si>
  <si>
    <t>Equipment used to control, protect and disconnect the high voltage connection,</t>
  </si>
  <si>
    <t>1.2.3.3.3.3</t>
  </si>
  <si>
    <t xml:space="preserve">    Medium Voltage Switchgear </t>
  </si>
  <si>
    <t>Equipment used to control, protect and disconnect the medium voltage connection</t>
  </si>
  <si>
    <t>1.2.3.3.3.4</t>
  </si>
  <si>
    <t xml:space="preserve">    Shunt Reactors</t>
  </si>
  <si>
    <t>Onboard reactive compensation equipment</t>
  </si>
  <si>
    <t>1.2.3.3.3.5</t>
  </si>
  <si>
    <t xml:space="preserve">    DC Convertor</t>
  </si>
  <si>
    <t>Equipment to convert power from HVAC to HVDC for export to shore</t>
  </si>
  <si>
    <t>1.2.3.3.3.6</t>
  </si>
  <si>
    <t xml:space="preserve">    Filtering System</t>
  </si>
  <si>
    <t>Filters to address harmonics generated by HVDC convertors</t>
  </si>
  <si>
    <t>1.2.3.3.3.7</t>
  </si>
  <si>
    <t xml:space="preserve">    Substation Electrical Conversion Equipment Integration, Assembly, Testing, and Checkout</t>
  </si>
  <si>
    <t>1.2.3.3.3.8</t>
  </si>
  <si>
    <t>Costs of transporting the electrical conversion equipment from the manufacturing facility to the staging area</t>
  </si>
  <si>
    <t>1.2.3.3.4</t>
  </si>
  <si>
    <t xml:space="preserve">                Ancillary Systems</t>
  </si>
  <si>
    <t>Other elements providing necessary functions to offshore substation during operations</t>
  </si>
  <si>
    <t>1.2.3.3.4.1</t>
  </si>
  <si>
    <t xml:space="preserve">    Diesel Generator Back Up</t>
  </si>
  <si>
    <t>Generators to provide power to substation if grid connection is lost</t>
  </si>
  <si>
    <t>1.2.3.3.4.2</t>
  </si>
  <si>
    <t xml:space="preserve">    Fire Protection System</t>
  </si>
  <si>
    <t>Fire alarms and fire response equipment</t>
  </si>
  <si>
    <t>1.2.3.3.4.3</t>
  </si>
  <si>
    <t xml:space="preserve">    Water Tanks</t>
  </si>
  <si>
    <t>Fresh water tanks and pumping equip.</t>
  </si>
  <si>
    <t>1.2.3.3.4.4</t>
  </si>
  <si>
    <t xml:space="preserve">    Fuel Tanks</t>
  </si>
  <si>
    <t>Fuel tanks and pumping equip. for generator and possibly emergency fueling of service/crew transfer vessels</t>
  </si>
  <si>
    <t>1.2.3.3.4.5</t>
  </si>
  <si>
    <t xml:space="preserve">    Control &amp; Communication System </t>
  </si>
  <si>
    <t>Connects the substation with an onshore operations center, provides project operator with information about the status of substation systems and allows remote control of some functions</t>
  </si>
  <si>
    <t>1.2.3.3.4.6</t>
  </si>
  <si>
    <t xml:space="preserve">    Safety and Security Systems</t>
  </si>
  <si>
    <t>Systems including access control, to safeguard personnel from hazards arising from the installation, maintenance, or operation of substation equipment</t>
  </si>
  <si>
    <t>1.2.3.3.4.7</t>
  </si>
  <si>
    <t>Costs of transporting the ancillary systems from the manufacturing facility to the staging area</t>
  </si>
  <si>
    <t>1.2.3.4</t>
  </si>
  <si>
    <t xml:space="preserve">            Onshore Transmission Infrastructure </t>
  </si>
  <si>
    <t>Any onshore transmission or conversion equipment required to connect project to onshore grid.</t>
  </si>
  <si>
    <t>1.2.3.4.1</t>
  </si>
  <si>
    <t xml:space="preserve">                Land Leases</t>
  </si>
  <si>
    <t>Land Lease or Right of Way payments for transmission corridor prior to commercial date of operations.</t>
  </si>
  <si>
    <t>1.2.3.4.2</t>
  </si>
  <si>
    <t xml:space="preserve">                Underground Cable System</t>
  </si>
  <si>
    <t>Any underground cables required for the connection of export cables to the onshore substation.</t>
  </si>
  <si>
    <t>1.2.3.4.2.1</t>
  </si>
  <si>
    <t xml:space="preserve">    Underground Cables </t>
  </si>
  <si>
    <t>Connect export cables to the onshore substation directly or via overhead lines.</t>
  </si>
  <si>
    <t>1.2.3.4.2.2</t>
  </si>
  <si>
    <t xml:space="preserve">    Ancillary equipment</t>
  </si>
  <si>
    <t>Ancillary equipment required for underground cable system including ducts.</t>
  </si>
  <si>
    <t>1.2.3.4.3</t>
  </si>
  <si>
    <t xml:space="preserve">                Self-Supporting Towers with Insulators</t>
  </si>
  <si>
    <t>Structures to support any overhead lines required for the connection of export cables to the onshore substation.</t>
  </si>
  <si>
    <t>1.2.3.4.3.1</t>
  </si>
  <si>
    <t xml:space="preserve">    Foundations</t>
  </si>
  <si>
    <t>Support tower structures, typically reinforced concrete.</t>
  </si>
  <si>
    <t>1.2.3.4.3.2</t>
  </si>
  <si>
    <t xml:space="preserve">    Transmission Towers</t>
  </si>
  <si>
    <t>Structures to support overhead transmission lines.</t>
  </si>
  <si>
    <t>1.2.3.4.3.3</t>
  </si>
  <si>
    <t xml:space="preserve">    Insulators</t>
  </si>
  <si>
    <t>Insulating supports used to attach overhead transmission lines to the towers.</t>
  </si>
  <si>
    <t>1.2.3.4.4</t>
  </si>
  <si>
    <t xml:space="preserve">                Overhead Lines</t>
  </si>
  <si>
    <t>Lines that transmit power and enable communications with the marine energy converter project.</t>
  </si>
  <si>
    <t>1.2.3.4.4.1</t>
  </si>
  <si>
    <t xml:space="preserve">    Conductors</t>
  </si>
  <si>
    <t>Conductors that transmit power between export cable and onshore substation  (three phase system).</t>
  </si>
  <si>
    <t>1.2.3.4.4.2</t>
  </si>
  <si>
    <t xml:space="preserve">    Communications</t>
  </si>
  <si>
    <t>Fiber optic wire routed to the control center, transmits information from data acquisition system (DAS), condition monitoring system (CMS), and allows land-based control of project systems.</t>
  </si>
  <si>
    <t>1.2.3.4.4.3</t>
  </si>
  <si>
    <t xml:space="preserve">    Shield Wire</t>
  </si>
  <si>
    <t>Grounded conductor to protect phase conductors from surges (lightning).</t>
  </si>
  <si>
    <t>1.2.3.4.5</t>
  </si>
  <si>
    <t xml:space="preserve">                Onshore Substations</t>
  </si>
  <si>
    <t>Facility to house electric conversion equipment to transform or convert power from the export voltage to the onshore grid voltage.</t>
  </si>
  <si>
    <t>1.2.3.4.5.1</t>
  </si>
  <si>
    <t xml:space="preserve">    Buildings/Facilities</t>
  </si>
  <si>
    <t>Structures to house electric conversion equipment, climate controlled.</t>
  </si>
  <si>
    <t>1.2.3.4.5.2</t>
  </si>
  <si>
    <t xml:space="preserve">    Civil Infrastructure </t>
  </si>
  <si>
    <t>Improvements to construction site (e.g., roads) necessary for substation construction and operation.</t>
  </si>
  <si>
    <t>1.2.3.4.5.3</t>
  </si>
  <si>
    <t xml:space="preserve">    Electric Conversion Equipment </t>
  </si>
  <si>
    <t>Equipment to transform generated power from export cable voltage to interconnection voltage and/or convert from DC to AC (e.g.,  AC transformers, switchgears, shunt reactors, DC convertors).</t>
  </si>
  <si>
    <t>1.2.3.4.5.4</t>
  </si>
  <si>
    <t xml:space="preserve">    Ancillary Systems</t>
  </si>
  <si>
    <t>Other elements providing necessary functions to substation during operations (e.g.,  metering equipment, Safety and Security Systems, fire protection, gas detection).</t>
  </si>
  <si>
    <t>1.2.3.4.6</t>
  </si>
  <si>
    <t xml:space="preserve">                Onshore Transmission Infrastructure Transportation</t>
  </si>
  <si>
    <t>Costs of transporting the onshore transmission infrastructure components from the manufacturing facility to the staging area.</t>
  </si>
  <si>
    <t xml:space="preserve">        Plant Commissioning</t>
  </si>
  <si>
    <t>Cost incurred by owner or prime contractor to test and commission the integrated power plant.</t>
  </si>
  <si>
    <t xml:space="preserve">        Site Access, Port &amp; Staging</t>
  </si>
  <si>
    <t>Activities and physical aspects of a staging port. Elements needed to support the delivery, storage, handling, and deployment of marine energy converter (MEC) components.</t>
  </si>
  <si>
    <t>1.2.5.1</t>
  </si>
  <si>
    <t xml:space="preserve">            Facilities</t>
  </si>
  <si>
    <t>Port facilities or space leased to support the installation of the project.</t>
  </si>
  <si>
    <t>1.2.5.1.1</t>
  </si>
  <si>
    <t xml:space="preserve">                Laydown Area</t>
  </si>
  <si>
    <t>Leased space at staging port to store marine energy converter (MEC) components and foundations.</t>
  </si>
  <si>
    <t>1.2.5.1.2</t>
  </si>
  <si>
    <t xml:space="preserve">                Assembly Areas</t>
  </si>
  <si>
    <t>Leased space at staging port with high load bearing capacity to perform onshore assembly activities.</t>
  </si>
  <si>
    <t>1.2.5.1.3</t>
  </si>
  <si>
    <t xml:space="preserve">                Utilities</t>
  </si>
  <si>
    <t>Temporary power, restrooms, and water located at Facilities to be used by subcontractors during construction phase.</t>
  </si>
  <si>
    <t>1.2.5.1.4</t>
  </si>
  <si>
    <t xml:space="preserve">                Fabrication Facilities</t>
  </si>
  <si>
    <t>Workshops to support fabrication, construction or assembly of components.</t>
  </si>
  <si>
    <t>1.2.5.2</t>
  </si>
  <si>
    <t xml:space="preserve">            Cranage</t>
  </si>
  <si>
    <t>Cranage fees to use and operate crawler cranes, tower cranes, harbor cranes, self-propelled modular transporters (SPMTs) used for land-based assembly of components and load out onto installation vessels.</t>
  </si>
  <si>
    <t>1.2.5.3</t>
  </si>
  <si>
    <t xml:space="preserve">            Port Improvements</t>
  </si>
  <si>
    <t>Any improvement to existing port infrastructure paid for by project owner (e.g., quayside reinforcement).</t>
  </si>
  <si>
    <t>1.2.5.4</t>
  </si>
  <si>
    <t xml:space="preserve">            Port Fees </t>
  </si>
  <si>
    <t>Fees for vessel access, docking and loading/unloading.</t>
  </si>
  <si>
    <t>1.2.5.4.1</t>
  </si>
  <si>
    <t xml:space="preserve">                Entrance/Exit Fees</t>
  </si>
  <si>
    <t>Charges levied upon entry of vessels into the port, generally calculated on standard formula basis upon Gross Registered Ton (GRT).</t>
  </si>
  <si>
    <t>1.2.5.4.2</t>
  </si>
  <si>
    <t xml:space="preserve">                Quayside Docking Fees</t>
  </si>
  <si>
    <t>Charges levied for the use of a berth either occupied by a vessel or by pre-assembly activities.</t>
  </si>
  <si>
    <t>1.2.5.4.3</t>
  </si>
  <si>
    <t xml:space="preserve">               Wharfage Fees</t>
  </si>
  <si>
    <t>Charges for loading or unloading cargo from vessels, generally calculated by tonnage and equipment requirements for loading/unloading the cargo.</t>
  </si>
  <si>
    <t>1.2.6</t>
  </si>
  <si>
    <t xml:space="preserve">        Assembly &amp; Installation</t>
  </si>
  <si>
    <t>Assembly and installation activities conducted at the staging port and at the project site. Assume financial costs related to warranties, contractor insurance, Selling, General &amp; Administrative (SG&amp;A), profit margin, etc., are loaded in day rates for vessels, labor, and equipment.</t>
  </si>
  <si>
    <t>1.2.6.1</t>
  </si>
  <si>
    <t xml:space="preserve">            Substructures &amp; Foundations</t>
  </si>
  <si>
    <t>Vessel, labor, and equipment costs to complete installation of foundations and substructures.</t>
  </si>
  <si>
    <t>1.2.6.1.1</t>
  </si>
  <si>
    <t xml:space="preserve">                Foundation</t>
  </si>
  <si>
    <t>Vessel, labor and equipment costs to complete foundation installation procedures</t>
  </si>
  <si>
    <t>1.2.6.1.2</t>
  </si>
  <si>
    <t xml:space="preserve">                Substructure </t>
  </si>
  <si>
    <t>Vessel, labor and equipment costs to complete substructure installation procedures</t>
  </si>
  <si>
    <t>1.2.6.1.3</t>
  </si>
  <si>
    <t xml:space="preserve">                Scour Protection  </t>
  </si>
  <si>
    <t>Vessel, labor and equipment costs to complete scour protection installation procedures</t>
  </si>
  <si>
    <t>1.2.6.2</t>
  </si>
  <si>
    <t xml:space="preserve">            Marine Energy Converter Device</t>
  </si>
  <si>
    <t>Vessel, labor, and equipment costs to complete marine energy converter installation procedures for the entire project.</t>
  </si>
  <si>
    <t>1.2.6.2.1</t>
  </si>
  <si>
    <t xml:space="preserve">              Structural Assembly</t>
  </si>
  <si>
    <t>Cost to assemble and install the primary energy capture (e.g., float paddle, turbine, flap, etc.) device and supporting structural components.</t>
  </si>
  <si>
    <t>1.2.6.2.2</t>
  </si>
  <si>
    <t xml:space="preserve">              Power Conversion Chain (PCC)</t>
  </si>
  <si>
    <t>Cost to assemble and install the power conversion chain which is comprised of a drivetrain (converts the energy captured by the device into mechanical power), a generator (converts mechanical power into electrical power), short-term storage, and power electronics.</t>
  </si>
  <si>
    <t>1.2.6.3</t>
  </si>
  <si>
    <t xml:space="preserve">            Electrical Infrastructure</t>
  </si>
  <si>
    <t>Vessel, labor, and equipment costs to install electrical infrastructure.</t>
  </si>
  <si>
    <t>1.2.6.3.1</t>
  </si>
  <si>
    <t>Installation of subsea array cable system.</t>
  </si>
  <si>
    <t>1.2.6.3.1.1</t>
  </si>
  <si>
    <t xml:space="preserve">    Laying</t>
  </si>
  <si>
    <t>Vessel, labor and equipment costs to lay array cables.</t>
  </si>
  <si>
    <t>1.2.6.3.1.2</t>
  </si>
  <si>
    <t xml:space="preserve">    Trenching </t>
  </si>
  <si>
    <t>Vessel, labor and equipment costs to bury array cables.</t>
  </si>
  <si>
    <t>1.2.6.3.1.3</t>
  </si>
  <si>
    <t xml:space="preserve">    Protection</t>
  </si>
  <si>
    <t>Vessel, labor and equipment costs to protect array cables.</t>
  </si>
  <si>
    <t>1.2.6.3.1.4</t>
  </si>
  <si>
    <t xml:space="preserve">    Terminations</t>
  </si>
  <si>
    <t>Vessel, labor and equipment costs to pull array cables through J-Tubes and connect to transformers.</t>
  </si>
  <si>
    <t>1.2.6.3.2</t>
  </si>
  <si>
    <t xml:space="preserve">                Export Cables</t>
  </si>
  <si>
    <t>installation of subsea export cable system.</t>
  </si>
  <si>
    <t>1.2.6.3.2.1</t>
  </si>
  <si>
    <t xml:space="preserve">    Laying/Trenching </t>
  </si>
  <si>
    <t>Vessel, labor and equipment costs to lay and bury export cables.</t>
  </si>
  <si>
    <t>1.2.6.3.2.2</t>
  </si>
  <si>
    <t>Vessel, labor and equipment costs to protect export cables.</t>
  </si>
  <si>
    <t>1.2.6.3.2.3</t>
  </si>
  <si>
    <t>Vessel, labor and equipment costs to pull export cables through J-Tubes and connect to transformers.</t>
  </si>
  <si>
    <t>1.2.6.3.2.4</t>
  </si>
  <si>
    <t xml:space="preserve">    Landfall Operations</t>
  </si>
  <si>
    <t>Vessel, labor and equipment costs to transition export cable from subsea trench to onshore jointing pit.</t>
  </si>
  <si>
    <t>1.2.6.3.3</t>
  </si>
  <si>
    <t xml:space="preserve">                Offshore Substation(s) </t>
  </si>
  <si>
    <t>Costs of installing offshore substations at the project site.</t>
  </si>
  <si>
    <t>1.2.6.3.3.1</t>
  </si>
  <si>
    <t xml:space="preserve">    Substructure</t>
  </si>
  <si>
    <t>Vessel, labor and equipment costs to install substation substructure(s).</t>
  </si>
  <si>
    <t>1.2.6.3.3.2</t>
  </si>
  <si>
    <t xml:space="preserve">    Topside</t>
  </si>
  <si>
    <t>Vessel, labor and equipment costs to install substation topside(s).</t>
  </si>
  <si>
    <t>1.2.6.3.4</t>
  </si>
  <si>
    <t xml:space="preserve">                Offshore Accommodations Platform(s)</t>
  </si>
  <si>
    <t>Costs of installing offshore accommodations platforms at the project site.</t>
  </si>
  <si>
    <t>1.2.6.3.4.1</t>
  </si>
  <si>
    <t>Vessel, labor and equipment costs to install offshore accommodations platform substructure(s).</t>
  </si>
  <si>
    <t>1.2.6.3.4.2</t>
  </si>
  <si>
    <t>Vessel, labor and equipment costs to install offshore accommodations platform topside(s).</t>
  </si>
  <si>
    <t>1.2.6.3.5</t>
  </si>
  <si>
    <t xml:space="preserve">               Onshore Electric Infrastructure </t>
  </si>
  <si>
    <t>Onshore Electric Infrastructure: costs of installing onshore electric infrastructure.</t>
  </si>
  <si>
    <t>1.2.6.3.5.1</t>
  </si>
  <si>
    <t xml:space="preserve">     Underground Cable System</t>
  </si>
  <si>
    <t>Labor and equipment costs to install underground cables onshore.</t>
  </si>
  <si>
    <t>1.2.6.3.5.2</t>
  </si>
  <si>
    <t xml:space="preserve">    Overhead Transmission Lines</t>
  </si>
  <si>
    <t>Labor equipment costs to install overhead transmission lines.</t>
  </si>
  <si>
    <t>1.2.6.3.5.3</t>
  </si>
  <si>
    <t xml:space="preserve">    Onshore Substation</t>
  </si>
  <si>
    <t>Labor and equipment costs to install onshore substation.</t>
  </si>
  <si>
    <t>1.2.7</t>
  </si>
  <si>
    <t xml:space="preserve">        Other Infrastructure</t>
  </si>
  <si>
    <t>Other capital investments made by the project company prior to commercial operation date (COD).</t>
  </si>
  <si>
    <t>1.2.7.1</t>
  </si>
  <si>
    <t xml:space="preserve">            Offshore Accommodations Platform(s)</t>
  </si>
  <si>
    <t>Permanent platform(s) at the project site to house project personnel during operations.</t>
  </si>
  <si>
    <t>1.2.7.2</t>
  </si>
  <si>
    <t xml:space="preserve">            Dedicated O&amp;M Vessel(s)</t>
  </si>
  <si>
    <t>New build vessels owned by the project company that will be used exclusively to support operations at project.</t>
  </si>
  <si>
    <t>1.2.7.3</t>
  </si>
  <si>
    <t xml:space="preserve">            Onshore O&amp;M Facilities </t>
  </si>
  <si>
    <t>Facilities on land, owned by the project company, to support the operation of the project.</t>
  </si>
  <si>
    <t>1.2.7.4</t>
  </si>
  <si>
    <t xml:space="preserve">            O&amp;M Equipment Purchases</t>
  </si>
  <si>
    <t>Other purchases necessary for the operation of the marine energy converter project after commercial operation date (COD). Examples include: safety equipment (e.g., harnesses, floatation devices), equipment to store replacement parts (e.g., climate control for spare electric cables), vehicles to support operations (e.g., fork trucks).</t>
  </si>
  <si>
    <t>1.2.7.5</t>
  </si>
  <si>
    <t xml:space="preserve">            Other Infrastructure Transportation</t>
  </si>
  <si>
    <t>Cost of transporting other infrastructure components from the manufacturing facility to the staging area.</t>
  </si>
  <si>
    <t>1.2.8</t>
  </si>
  <si>
    <t xml:space="preserve">        Substructure &amp; Foundation</t>
  </si>
  <si>
    <t>All elements of the marine energy converter substructure and foundation.</t>
  </si>
  <si>
    <t>1.2.8.1</t>
  </si>
  <si>
    <t xml:space="preserve">            Substructure</t>
  </si>
  <si>
    <t>Main structure that connects the foundation to the marine energy converter.</t>
  </si>
  <si>
    <t>1.2.8.1.1</t>
  </si>
  <si>
    <t xml:space="preserve">                Primary Structure</t>
  </si>
  <si>
    <t>Structural steel or other material.</t>
  </si>
  <si>
    <t>1.2.8.1.2</t>
  </si>
  <si>
    <t xml:space="preserve">                Fasteners</t>
  </si>
  <si>
    <t>Hardware to secure connections between substructure &amp; foundation elements.</t>
  </si>
  <si>
    <t>1.2.8.1.3</t>
  </si>
  <si>
    <t xml:space="preserve">                Grout, Grout Lines, and Seals</t>
  </si>
  <si>
    <t>Grout and ancillary equipment to secure connections between substructure &amp; foundation elements.</t>
  </si>
  <si>
    <t>1.2.8.1.4</t>
  </si>
  <si>
    <t xml:space="preserve">                Marine Coatings</t>
  </si>
  <si>
    <t>Anti-corrosion marine coatings applied to substructure elements.</t>
  </si>
  <si>
    <t>1.2.8.2</t>
  </si>
  <si>
    <t xml:space="preserve">            Foundation</t>
  </si>
  <si>
    <t>Main structural interface that transfers loads into seabed.</t>
  </si>
  <si>
    <t>1.2.8.2.1</t>
  </si>
  <si>
    <t xml:space="preserve">                Bedding Stones</t>
  </si>
  <si>
    <t>Layers of gravel and stone to provide a stable and level surface on which to place anchors.</t>
  </si>
  <si>
    <t>1.2.8.2.2</t>
  </si>
  <si>
    <t xml:space="preserve">                Piles</t>
  </si>
  <si>
    <t>Steel pipes driven into seabed to provide support and transfer loads acting on marine energy system into seabed.</t>
  </si>
  <si>
    <t>1.2.8.2.3</t>
  </si>
  <si>
    <t xml:space="preserve">                Anchors</t>
  </si>
  <si>
    <t>Anchors are installed below mudline and transfer loads into the seabed.</t>
  </si>
  <si>
    <t>1.2.8.2.4</t>
  </si>
  <si>
    <t xml:space="preserve">                Mooring Lines</t>
  </si>
  <si>
    <t>Chain, wire, or synthetic fiber ropes to connect marine energy converter with anchors on the seabed.</t>
  </si>
  <si>
    <t>1.2.8.2.5</t>
  </si>
  <si>
    <t xml:space="preserve">               Connecting Hardware</t>
  </si>
  <si>
    <t>Connectors required to attach the mooring lines to anchors and marine energy converter.</t>
  </si>
  <si>
    <t>1.2.8.2.6</t>
  </si>
  <si>
    <t xml:space="preserve">               Messenger Lines &amp; Buoys</t>
  </si>
  <si>
    <t>Ancillary equipment used during the installation of the mooring system.</t>
  </si>
  <si>
    <t>1.2.8.3</t>
  </si>
  <si>
    <t xml:space="preserve">           Outfitting Steel</t>
  </si>
  <si>
    <t>Additional non-structural elements attached to substructure elements.</t>
  </si>
  <si>
    <t>1.2.8.3.1</t>
  </si>
  <si>
    <t xml:space="preserve">                Vessel Landing </t>
  </si>
  <si>
    <t>Provides interface between maintenance vessels and substructure to enable safe personnel access.</t>
  </si>
  <si>
    <t>1.2.8.3.2</t>
  </si>
  <si>
    <t xml:space="preserve">                Service Platforms and Decks</t>
  </si>
  <si>
    <t>Provides work platform for maintenance activities.</t>
  </si>
  <si>
    <t>1.2.8.3.3</t>
  </si>
  <si>
    <t xml:space="preserve">                Ladders</t>
  </si>
  <si>
    <t>Provides access from the vessel landing to the deck.</t>
  </si>
  <si>
    <t>1.2.8.3.4</t>
  </si>
  <si>
    <t xml:space="preserve">                Railings</t>
  </si>
  <si>
    <t>Encloses the deck to provide a safe working environment for personnel.</t>
  </si>
  <si>
    <t>1.2.8.3.5</t>
  </si>
  <si>
    <t>Anti-corrosion marine coatings applied to any outfitting steel elements.</t>
  </si>
  <si>
    <t>1.2.8.4</t>
  </si>
  <si>
    <t>Ancillary systems for marine operations.</t>
  </si>
  <si>
    <t>1.2.8.4.1</t>
  </si>
  <si>
    <t xml:space="preserve">                Cathodic Protection System</t>
  </si>
  <si>
    <t xml:space="preserve">Active (impressed current) or passive (anodes) cathodic protection system. </t>
  </si>
  <si>
    <t>1.2.8.4.2</t>
  </si>
  <si>
    <t xml:space="preserve">                 Personnel Access System</t>
  </si>
  <si>
    <t>Equipment installed on vessel landing, ladders, and deck to facilitate safe access to the marine energy converter (MEC).</t>
  </si>
  <si>
    <t>1.2.8.4.3</t>
  </si>
  <si>
    <t xml:space="preserve">                 Ballast System</t>
  </si>
  <si>
    <t>1.2.8.4.4</t>
  </si>
  <si>
    <t xml:space="preserve">                  Condition Monitoring </t>
  </si>
  <si>
    <t>Systems to monitor and control substructure systems (e.g., variable ballast).</t>
  </si>
  <si>
    <t>1.2.8.5</t>
  </si>
  <si>
    <t xml:space="preserve">           Scour Protection</t>
  </si>
  <si>
    <t>Rock fill or concrete mattresses to protect substructures from scouring (caused by currents).</t>
  </si>
  <si>
    <t>1.2.8.6</t>
  </si>
  <si>
    <t xml:space="preserve">           Substructure &amp; Foundation Integration, Assembly, Testing, and Checkout</t>
  </si>
  <si>
    <t>Activities performed by manufacturer to integrate, assemble, test, and checkout for the foundation and substructure before  delivery to customer. Does not include commissioning activities.</t>
  </si>
  <si>
    <t>1.2.8.7</t>
  </si>
  <si>
    <t xml:space="preserve">           Substructure &amp; Foundation Transportation</t>
  </si>
  <si>
    <t>Costs of transporting substructure and foundation components from the manufacturing facility to the staging area.</t>
  </si>
  <si>
    <t xml:space="preserve">    Financial Costs</t>
  </si>
  <si>
    <t>Financial expenditures for which the project owner is responsible prior to commercial operation date (COD), related to either payments for financial products, carrying charges on loans, or setting up financial instruments.</t>
  </si>
  <si>
    <t xml:space="preserve">        Project Contingency Budget</t>
  </si>
  <si>
    <t>Liquid financial instrument set up to respond to "known unknown" costs that arise during construction, does not include contingences set by manufactures and contractors as part of supply contract pricing.</t>
  </si>
  <si>
    <t xml:space="preserve">        Insurance During Construction</t>
  </si>
  <si>
    <t>Insurance policies held by owner during construction period, can include construction all risk, marine cargo, commercial general liability, workers compensation, environmental site liability, pollution liability, etc. Does not include insurance held by contractors.</t>
  </si>
  <si>
    <t xml:space="preserve">        Carrying Costs During Construction (Construction Financing Costs)</t>
  </si>
  <si>
    <t>Carrying charges of expenditures on equipment and services incurred before commercial operation date (COD).</t>
  </si>
  <si>
    <t xml:space="preserve">        Reserve Accounts</t>
  </si>
  <si>
    <t>Payments (before commissioning) into reserve accounts. Generally required by either financiers or regulators.</t>
  </si>
  <si>
    <t>1.3.4.1</t>
  </si>
  <si>
    <t xml:space="preserve">            Maintenance Reserve Account</t>
  </si>
  <si>
    <t>Payments (before commissioning) into reserve accounts set up to cover major maintenance expenditures (MRAs), often required by debt service providers.</t>
  </si>
  <si>
    <t>1.3.4.2</t>
  </si>
  <si>
    <t xml:space="preserve">            Debt Service Reserve Account</t>
  </si>
  <si>
    <t>Payments (before commissioning) into reserve accounts set up to cover debt service expenditures (DSRAs), often required by debt service providers.</t>
  </si>
  <si>
    <t>1.3.4.3</t>
  </si>
  <si>
    <t xml:space="preserve">            Decommissioning Reserve Account</t>
  </si>
  <si>
    <t xml:space="preserve">Payments (before commissioning) into reserve accounts to fund project decommissioning obligations (e.g., surety bonds). </t>
  </si>
  <si>
    <t>Operations and Maintenance (O&amp;M) [$/kW/yr]</t>
  </si>
  <si>
    <t>Operational Expenditures (OPEX)</t>
  </si>
  <si>
    <t>Expenditures required to operate the project and maintain availability. These expenditures are generally annualized.</t>
  </si>
  <si>
    <t xml:space="preserve">    Operations</t>
  </si>
  <si>
    <t xml:space="preserve">Operations is defined as non-equipment costs of operations for the project. </t>
  </si>
  <si>
    <t>2.1.1</t>
  </si>
  <si>
    <t xml:space="preserve">        Environmental, Health and Safety Monitoring</t>
  </si>
  <si>
    <t>Coordination and monitoring to ensure compliance with health, safety, and environmental (HSE) requirements during construction.</t>
  </si>
  <si>
    <t>2.1.1.1</t>
  </si>
  <si>
    <t xml:space="preserve">            Health, Safety Monitoring</t>
  </si>
  <si>
    <t>Coordination and monitoring to ensure compliance with health and safety requirements during operations.</t>
  </si>
  <si>
    <t>2.1.1.2</t>
  </si>
  <si>
    <t xml:space="preserve">            Environmental Monitoring</t>
  </si>
  <si>
    <t>Coordination and monitoring to ensure compliance with environmental requirement during operations. Includes post-construction survey activities.</t>
  </si>
  <si>
    <t>2.1.2</t>
  </si>
  <si>
    <t xml:space="preserve">        Annual Leases/Fees/Costs of Doing Business</t>
  </si>
  <si>
    <t>Ongoing payments, including but not limited to: payments to regulatory body for permission to operate at project site (terms defined within lease); payments to Transmissions Systems Operators or Transmission Asset Owners for rights to transport generated power.</t>
  </si>
  <si>
    <t>2.1.2.1</t>
  </si>
  <si>
    <t xml:space="preserve">            Submerged land-lease</t>
  </si>
  <si>
    <t>Payments to the state or federal regulatory authorities for rights to operate marine energy converter project on publically owned seabed or lakebed.</t>
  </si>
  <si>
    <t>2.1.2.2</t>
  </si>
  <si>
    <t xml:space="preserve">            Onshore land-lease</t>
  </si>
  <si>
    <t>Payments to land owners for rights to operate transmission lines, onshore substation, or other facilities.</t>
  </si>
  <si>
    <t>2.1.2.3</t>
  </si>
  <si>
    <t xml:space="preserve">            Transmission Charges/Rights</t>
  </si>
  <si>
    <t>Any payments to Transmissions Systems Operators or Transmission Asset Owners for rights to transport generated power.</t>
  </si>
  <si>
    <t>2.1.2.4</t>
  </si>
  <si>
    <t xml:space="preserve">            Federal Energy Regulatory Commission (FERC) Fees</t>
  </si>
  <si>
    <t>Fees paid to Federal Energy Regulatory Commission (FERC) during operations.</t>
  </si>
  <si>
    <t>2.1.3</t>
  </si>
  <si>
    <t xml:space="preserve">        Insurance</t>
  </si>
  <si>
    <t>Insurance policies held by project company or operations manager during operational period.</t>
  </si>
  <si>
    <t>2.1.4</t>
  </si>
  <si>
    <t xml:space="preserve">        Operations, Management, and General Administration</t>
  </si>
  <si>
    <t>Activities necessary to forecast, dispatch, sell, and manage the production of power from the plant.  Includes both on-site and off-site personnel, software, and equipment to coordinate high voltage equipment, switching, port activities, marine activities, weather forecasting.</t>
  </si>
  <si>
    <t>2.1.4.1</t>
  </si>
  <si>
    <t xml:space="preserve">             Generation Planning and Integration</t>
  </si>
  <si>
    <t>Efforts to forecast, sell, and dispatch power generated by the facility.</t>
  </si>
  <si>
    <t>2.1.4.2</t>
  </si>
  <si>
    <t xml:space="preserve">             Operating Facilities</t>
  </si>
  <si>
    <t>Co-located offices, parts store and quayside facility,  helicopter facilities, etc.</t>
  </si>
  <si>
    <t>2.1.4.3</t>
  </si>
  <si>
    <t xml:space="preserve">             Operating Equipment</t>
  </si>
  <si>
    <t>Lease payments for operating equipment held by the project to support operations (e.g., cranes, fork trucks).</t>
  </si>
  <si>
    <t>2.1.4.4</t>
  </si>
  <si>
    <t xml:space="preserve">            Sales, General, &amp; Administrative</t>
  </si>
  <si>
    <t>Includes financial reporting, public relations, procurement, parts and stock management, Health, Safety, and Environment (HS&amp;E) management, training, subcontracts and general administration.</t>
  </si>
  <si>
    <t>2.1.4.5</t>
  </si>
  <si>
    <t xml:space="preserve">            Marine Energy Converter Power Consumption</t>
  </si>
  <si>
    <t>Charges for power drawn from the grid by the marine hydrokinetic project (e.g., marine energy converter, substation) during operation.</t>
  </si>
  <si>
    <t>2.1.4.6</t>
  </si>
  <si>
    <t xml:space="preserve">            Weather Forecasting</t>
  </si>
  <si>
    <t>Daily 96 hour forecast of metocean conditions used to plan maintenance visits and project power production.</t>
  </si>
  <si>
    <t>2.1.4.7</t>
  </si>
  <si>
    <t xml:space="preserve">            Marine Management</t>
  </si>
  <si>
    <t>Coordination of port equipment, vessels, and personnel to carry out maintenance and inspections of generation and transmission equipment.</t>
  </si>
  <si>
    <t>2.1.4.8</t>
  </si>
  <si>
    <t xml:space="preserve">            Condition Monitoring</t>
  </si>
  <si>
    <t>Monitoring of SCADA data from marine energy converter components to optimize performance and identify component faults.</t>
  </si>
  <si>
    <t>2.1.4.9</t>
  </si>
  <si>
    <t xml:space="preserve">            Operating Margin</t>
  </si>
  <si>
    <t>Any margin earned by an independent operations management company.</t>
  </si>
  <si>
    <t>2.1.4.10</t>
  </si>
  <si>
    <t>Legal support, external consultants, accounting, etc., during operation.</t>
  </si>
  <si>
    <t xml:space="preserve">    Maintenance</t>
  </si>
  <si>
    <t>Vessel, labor, and equipment costs of operations for the project.</t>
  </si>
  <si>
    <t>2.2.1</t>
  </si>
  <si>
    <t xml:space="preserve">        Long Term Service Agreement</t>
  </si>
  <si>
    <t>Annualized cost of a contract, generally between the owner and marine energy converter OEM or Third Party, to maintain the water power project at a guaranteed level of availability for a defined period, will likely replace scheduled and unscheduled maintenance categories below for duration of contract</t>
  </si>
  <si>
    <t>2.2.2</t>
  </si>
  <si>
    <t xml:space="preserve">        Scheduled Maintenance</t>
  </si>
  <si>
    <t>Planned and routine activities to ensure that marine energy converters, substructures, and all related systems are operating correctly, at optimal efficiency, and to minimize unscheduled breakdowns/downtime, includes cost of vessels, labor, equipment, spare parts and consumables. Sometimes referred to as preventative maintenance.</t>
  </si>
  <si>
    <t>2.2.2.1</t>
  </si>
  <si>
    <t xml:space="preserve">            Marine Energy Converter Scheduled Maintenance</t>
  </si>
  <si>
    <t>Planned maintenance activities for marine energy converter systems.</t>
  </si>
  <si>
    <t>2.2.2.1.1</t>
  </si>
  <si>
    <t xml:space="preserve">                Structural Assembly Scheduled Maintenance</t>
  </si>
  <si>
    <t>Planned maintenance activities to the structural assembly.</t>
  </si>
  <si>
    <t>2.2.2.1.2</t>
  </si>
  <si>
    <t xml:space="preserve">                Power Conversion Chain (PCC) Scheduled Maintenance</t>
  </si>
  <si>
    <t>Planned maintenance activities to the power conversion chain.</t>
  </si>
  <si>
    <t>2.2.2.2</t>
  </si>
  <si>
    <t xml:space="preserve">            Balance of System (BOS) Scheduled Maintenance</t>
  </si>
  <si>
    <t>Planned maintenance activities for balance of system.</t>
  </si>
  <si>
    <t>2.2.2.2.1</t>
  </si>
  <si>
    <t xml:space="preserve">                Regular Cable Surveys</t>
  </si>
  <si>
    <t xml:space="preserve">Surveys of array and export cable routes to ensure coverage and determine cable burial depth. </t>
  </si>
  <si>
    <t>2.2.2.2.2</t>
  </si>
  <si>
    <t xml:space="preserve">                Substructure &amp; Foundation Inspections</t>
  </si>
  <si>
    <t xml:space="preserve">Inspections covering above water and under-water aspects of the substructure and foundation as well as the integrity of the cathodic protection system maintenance. </t>
  </si>
  <si>
    <t>2.2.2.2.3</t>
  </si>
  <si>
    <t xml:space="preserve">                Electrical Transforming Equipment Inspection</t>
  </si>
  <si>
    <t>Inspections of switchgears, transformers and back-up power supply.</t>
  </si>
  <si>
    <t>2.2.2.2.4</t>
  </si>
  <si>
    <t xml:space="preserve">               Direct Current (DC) Convertor Inspection</t>
  </si>
  <si>
    <t>Inspection of DC convertor equipment and filtering equipment.</t>
  </si>
  <si>
    <t>2.2.2.2.5</t>
  </si>
  <si>
    <t xml:space="preserve">               Onshore Electric Infrastructure</t>
  </si>
  <si>
    <t>Inspections of switchgear, transformers and any connections.</t>
  </si>
  <si>
    <t>2.2.3</t>
  </si>
  <si>
    <t xml:space="preserve">        Unscheduled Maintenance</t>
  </si>
  <si>
    <t>Interventions and other activities to respond to random failures. Costs include equipment and  vessels, labor, replacement parts, and consumables. Also known as corrective maintenance.</t>
  </si>
  <si>
    <t>2.2.3.1</t>
  </si>
  <si>
    <t xml:space="preserve">            Marine Energy Converter Unscheduled Maintenance</t>
  </si>
  <si>
    <t>Unplanned maintenance activities for marine energy converter systems.</t>
  </si>
  <si>
    <t>2.2.3.1.1</t>
  </si>
  <si>
    <t xml:space="preserve">                Structural Assembly Unscheduled Maintenance</t>
  </si>
  <si>
    <t>Unplanned maintenance activities to the structural assembly.</t>
  </si>
  <si>
    <t>2.2.3.1.2</t>
  </si>
  <si>
    <t xml:space="preserve">                Power Conversion Chain (PCC) Unscheduled Maintenance</t>
  </si>
  <si>
    <t>Unplanned maintenance activities to the power conversion chain.</t>
  </si>
  <si>
    <t>2.2.3.2</t>
  </si>
  <si>
    <t xml:space="preserve">            Balance of System (BOS) Unscheduled Maintenance</t>
  </si>
  <si>
    <t>Unplanned maintenance activities for balance of system.</t>
  </si>
  <si>
    <t>2.2.3.2.1</t>
  </si>
  <si>
    <t>2.2.3.2.2</t>
  </si>
  <si>
    <t>2.2.3.2.3</t>
  </si>
  <si>
    <t>2.2.3.2.4</t>
  </si>
  <si>
    <t>2.2.3.3</t>
  </si>
  <si>
    <t xml:space="preserve">            Unscheduled Maintenance Contingency</t>
  </si>
  <si>
    <t>Liquid financial instrument set up to respond to "known unknown" costs that arise during maintenance.</t>
  </si>
  <si>
    <t>PLEASE SEND COMMENTS OR QUESTIONS about this CBS to:</t>
  </si>
  <si>
    <t>National Renewable Energy Laboratory: Ben Maples (Ben.Maples@nrel.gov, 303-384-7137)</t>
  </si>
  <si>
    <t>Taught Mooring Solution</t>
  </si>
  <si>
    <t>Slow Tuning</t>
  </si>
  <si>
    <t>Rated Power (kW)</t>
  </si>
  <si>
    <t>Annual Energy (MWh/yr)</t>
  </si>
  <si>
    <t>Average Power (kW)</t>
  </si>
  <si>
    <t>Capacity Factor</t>
  </si>
  <si>
    <t>MPC</t>
  </si>
  <si>
    <t>Relative Improvement</t>
  </si>
  <si>
    <t>Annual Energy</t>
  </si>
  <si>
    <t>MWh/yr</t>
  </si>
  <si>
    <t>Avg. Power</t>
  </si>
  <si>
    <t>Unconstrained Performance Matrix</t>
  </si>
  <si>
    <t>Unconstrained Peak PTO Force (N)</t>
  </si>
  <si>
    <t>Energy Period - Te (s), center of bin</t>
  </si>
  <si>
    <t>Hm0 (m), center of bin</t>
  </si>
  <si>
    <t>Peak Period - Tp (s), center of bin</t>
  </si>
  <si>
    <t xml:space="preserve">Constrained Performance Matrix </t>
  </si>
  <si>
    <t>Scatter diagram</t>
  </si>
  <si>
    <t>% of Total Occurance</t>
  </si>
  <si>
    <t xml:space="preserve">Annual Energy Captured </t>
  </si>
  <si>
    <t>Avg P</t>
  </si>
  <si>
    <t>Constrained Performance Matrix with Optimal Linear damping (Baseline)</t>
  </si>
  <si>
    <t>Constrained MPC Performance Matrix (Heaving Buoy with motion constraints)</t>
  </si>
  <si>
    <t xml:space="preserve">% Improvement over Baseline </t>
  </si>
  <si>
    <t>Comparison MPC vs. Slow Tuning @ Hs = 1.25m</t>
  </si>
  <si>
    <t>Comparison MPC vs. Slow Tuning @ Hs = 2.25m</t>
  </si>
  <si>
    <t>Comparison MPC vs. Slow Tuning @ Hs = 3.25m</t>
  </si>
  <si>
    <t>Replaced with Standardized Assumption</t>
  </si>
  <si>
    <t>Max Mooring Force</t>
  </si>
  <si>
    <t xml:space="preserve">Tuning Select MPC = 1, Linear Damping = 0 </t>
  </si>
  <si>
    <t>Rated Mechanical Power</t>
  </si>
  <si>
    <t>Max Mooring Force MPC</t>
  </si>
  <si>
    <t>Max Mooring Force Linear Damping</t>
  </si>
  <si>
    <t>N</t>
  </si>
  <si>
    <t>Factor of Safety</t>
  </si>
  <si>
    <t>Peak Design Force</t>
  </si>
  <si>
    <t>MN</t>
  </si>
  <si>
    <t>Anchor Weight to Load Bearing Ratio</t>
  </si>
  <si>
    <t>Anchor Steel Weight</t>
  </si>
  <si>
    <t>Anchor Cost ($/tonne)</t>
  </si>
  <si>
    <t>Prog. Ratio</t>
  </si>
  <si>
    <t>Anchor Cost</t>
  </si>
  <si>
    <t>Tendon Cost</t>
  </si>
  <si>
    <t xml:space="preserve">Based on Reference Model 20m Diameter Buoy. Scaled to Buoy Dimensions (11m diameter) by scaling weight by planar surface area </t>
  </si>
  <si>
    <t>Scaling from 20m Diameter to 11m Diameter by Area Ratio</t>
  </si>
  <si>
    <t>X</t>
  </si>
  <si>
    <t>Scaled Cost</t>
  </si>
  <si>
    <t>Scaled weight</t>
  </si>
  <si>
    <t>Weight Assumed to be 20% of Buoy Weight</t>
  </si>
  <si>
    <t>Rated PTO Power</t>
  </si>
  <si>
    <t>Cost at Rated Power</t>
  </si>
  <si>
    <t xml:space="preserve"> - Although PTO will be different for this device, unit cost is estimated from Reference Model</t>
  </si>
  <si>
    <t>Estimate</t>
  </si>
  <si>
    <t>Note: Embedment Anchor Installation will require more extensive work. Cost for Device Installation is Assumed to be 2X of Reference Model</t>
  </si>
  <si>
    <t>Mass at Rated Power</t>
  </si>
  <si>
    <t>$/kW</t>
  </si>
  <si>
    <t>Is included in FCR rate calc</t>
  </si>
  <si>
    <t>LCoE (c/kWh)</t>
  </si>
  <si>
    <t>FCR</t>
  </si>
  <si>
    <t>$/kW-yr</t>
  </si>
  <si>
    <t>c/kWh</t>
  </si>
  <si>
    <t>Cap Factor</t>
  </si>
  <si>
    <t>Total CoE</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</si>
</sst>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0.0%"/>
    <numFmt numFmtId="167" formatCode="0.0"/>
    <numFmt numFmtId="168" formatCode="&quot;$&quot;#,##0.00"/>
    <numFmt numFmtId="169" formatCode="_(&quot;$&quot;* #,##0_);_(&quot;$&quot;* \(#,##0\);_(&quot;$&quot;* &quot;-&quot;??_);_(@_)"/>
    <numFmt numFmtId="170" formatCode="#,##0.0"/>
    <numFmt numFmtId="171" formatCode="0.0000"/>
    <numFmt numFmtId="172" formatCode="0.000"/>
    <numFmt numFmtId="173" formatCode="[$$-409]#,##0_);\([$$-409]#,##0\)"/>
    <numFmt numFmtId="174" formatCode="0.000000000000000%"/>
    <numFmt numFmtId="175" formatCode="#,##0.0_);\(#,##0.0\)"/>
    <numFmt numFmtId="176" formatCode="0.00000%"/>
    <numFmt numFmtId="177" formatCode="_(&quot;$&quot;* #,##0.0_);_(&quot;$&quot;* \(#,##0.0\);_(&quot;$&quot;* &quot;-&quot;??_);_(@_)"/>
    <numFmt numFmtId="178" formatCode="_(* #,##0_);_(* \(#,##0\);_(* &quot;-&quot;??_);_(@_)"/>
  </numFmts>
  <fonts count="59" x14ac:knownFonts="1">
    <font>
      <sz val="11"/>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scheme val="minor"/>
    </font>
    <font>
      <b/>
      <sz val="10"/>
      <name val="Arial"/>
      <family val="2"/>
    </font>
    <font>
      <b/>
      <sz val="11"/>
      <color theme="1"/>
      <name val="Times New Roman"/>
      <family val="1"/>
    </font>
    <font>
      <b/>
      <sz val="12"/>
      <name val="Arial"/>
      <family val="2"/>
    </font>
    <font>
      <i/>
      <sz val="10"/>
      <name val="Arial"/>
      <family val="2"/>
    </font>
    <font>
      <sz val="11"/>
      <color indexed="8"/>
      <name val="Calibri"/>
      <family val="2"/>
      <scheme val="minor"/>
    </font>
    <font>
      <sz val="10"/>
      <color theme="1"/>
      <name val="Arial"/>
      <family val="2"/>
    </font>
    <font>
      <sz val="11"/>
      <name val="Calibri"/>
      <family val="2"/>
      <scheme val="minor"/>
    </font>
    <font>
      <b/>
      <sz val="12"/>
      <color theme="1"/>
      <name val="Calibri"/>
      <family val="2"/>
      <scheme val="minor"/>
    </font>
    <font>
      <sz val="11"/>
      <name val="Arial"/>
      <family val="2"/>
    </font>
    <font>
      <i/>
      <sz val="11"/>
      <color theme="1"/>
      <name val="Calibri"/>
      <family val="2"/>
      <scheme val="minor"/>
    </font>
    <font>
      <u/>
      <sz val="11"/>
      <color theme="10"/>
      <name val="Calibri"/>
      <family val="2"/>
      <scheme val="minor"/>
    </font>
    <font>
      <u/>
      <sz val="10"/>
      <color indexed="12"/>
      <name val="Arial"/>
      <family val="2"/>
    </font>
    <font>
      <sz val="10"/>
      <color indexed="8"/>
      <name val="Arial"/>
      <family val="2"/>
    </font>
    <font>
      <sz val="10"/>
      <color indexed="10"/>
      <name val="Arial"/>
      <family val="2"/>
    </font>
    <font>
      <sz val="10"/>
      <color indexed="9"/>
      <name val="Arial"/>
      <family val="2"/>
    </font>
    <font>
      <u/>
      <sz val="11"/>
      <name val="Arial"/>
      <family val="2"/>
    </font>
    <font>
      <sz val="11"/>
      <color theme="1"/>
      <name val="Arial"/>
      <family val="2"/>
    </font>
    <font>
      <b/>
      <sz val="10"/>
      <color theme="1"/>
      <name val="Arial"/>
      <family val="2"/>
    </font>
    <font>
      <sz val="12"/>
      <color indexed="8"/>
      <name val="Calibri"/>
      <family val="2"/>
    </font>
    <font>
      <sz val="11"/>
      <color rgb="FFFF0000"/>
      <name val="Calibri"/>
      <family val="2"/>
      <scheme val="minor"/>
    </font>
    <font>
      <b/>
      <sz val="10"/>
      <name val="Times New Roman"/>
      <family val="1"/>
    </font>
    <font>
      <sz val="10"/>
      <name val="Times New Roman"/>
      <family val="1"/>
    </font>
    <font>
      <i/>
      <sz val="10"/>
      <name val="Times New Roman"/>
      <family val="1"/>
    </font>
    <font>
      <sz val="11"/>
      <color theme="1"/>
      <name val="Times New Roman"/>
      <family val="1"/>
    </font>
    <font>
      <sz val="11"/>
      <color theme="0"/>
      <name val="Calibri"/>
      <family val="2"/>
      <scheme val="minor"/>
    </font>
    <font>
      <sz val="14"/>
      <color theme="0"/>
      <name val="Calibri"/>
      <family val="2"/>
      <scheme val="minor"/>
    </font>
    <font>
      <sz val="10"/>
      <color theme="1"/>
      <name val="Calibri"/>
      <family val="2"/>
      <scheme val="minor"/>
    </font>
    <font>
      <b/>
      <u/>
      <sz val="16"/>
      <color theme="0"/>
      <name val="Calibri"/>
      <family val="2"/>
      <scheme val="minor"/>
    </font>
    <font>
      <sz val="10"/>
      <color theme="0"/>
      <name val="Calibri"/>
      <family val="2"/>
      <scheme val="minor"/>
    </font>
    <font>
      <i/>
      <sz val="10"/>
      <color theme="2" tint="-0.499984740745262"/>
      <name val="Calibri"/>
      <family val="2"/>
      <scheme val="minor"/>
    </font>
    <font>
      <sz val="12"/>
      <color theme="1"/>
      <name val="Calibri"/>
      <family val="2"/>
      <scheme val="minor"/>
    </font>
    <font>
      <sz val="11"/>
      <color rgb="FF000000"/>
      <name val="Calibri"/>
      <family val="2"/>
      <scheme val="minor"/>
    </font>
    <font>
      <u/>
      <sz val="11"/>
      <color theme="1"/>
      <name val="Calibri"/>
      <family val="2"/>
      <scheme val="minor"/>
    </font>
    <font>
      <sz val="10.5"/>
      <color theme="1"/>
      <name val="Calibri"/>
      <family val="2"/>
      <scheme val="minor"/>
    </font>
    <font>
      <sz val="10"/>
      <color rgb="FFFF0000"/>
      <name val="Arial"/>
      <family val="2"/>
    </font>
    <font>
      <sz val="11"/>
      <color rgb="FF0070C0"/>
      <name val="Calibri"/>
      <family val="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6" tint="-0.249977111117893"/>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0"/>
        <bgColor rgb="FF000000"/>
      </patternFill>
    </fill>
    <fill>
      <patternFill patternType="solid">
        <fgColor rgb="FFB1A0C7"/>
        <bgColor rgb="FF000000"/>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top/>
      <bottom/>
      <diagonal/>
    </border>
    <border>
      <left style="medium">
        <color theme="6" tint="-0.249977111117893"/>
      </left>
      <right/>
      <top style="medium">
        <color theme="6" tint="-0.249977111117893"/>
      </top>
      <bottom/>
      <diagonal/>
    </border>
    <border>
      <left/>
      <right/>
      <top style="medium">
        <color theme="6" tint="-0.249977111117893"/>
      </top>
      <bottom/>
      <diagonal/>
    </border>
    <border>
      <left/>
      <right style="medium">
        <color theme="6" tint="-0.249977111117893"/>
      </right>
      <top style="medium">
        <color theme="6" tint="-0.249977111117893"/>
      </top>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right/>
      <top style="medium">
        <color theme="2" tint="-0.499984740745262"/>
      </top>
      <bottom style="thin">
        <color indexed="64"/>
      </bottom>
      <diagonal/>
    </border>
    <border>
      <left/>
      <right/>
      <top/>
      <bottom style="medium">
        <color theme="0"/>
      </bottom>
      <diagonal/>
    </border>
    <border>
      <left/>
      <right/>
      <top/>
      <bottom style="thin">
        <color rgb="FFFFFFFF"/>
      </bottom>
      <diagonal/>
    </border>
    <border>
      <left/>
      <right/>
      <top/>
      <bottom style="medium">
        <color rgb="FFFFFFF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auto="1"/>
      </left>
      <right style="thin">
        <color auto="1"/>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style="medium">
        <color indexed="64"/>
      </left>
      <right style="medium">
        <color indexed="64"/>
      </right>
      <top/>
      <bottom/>
      <diagonal/>
    </border>
    <border>
      <left/>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54">
    <xf numFmtId="0" fontId="0" fillId="0" borderId="0"/>
    <xf numFmtId="164" fontId="4" fillId="0" borderId="0">
      <alignment horizontal="left" wrapText="1"/>
    </xf>
    <xf numFmtId="9" fontId="4" fillId="0" borderId="0" applyFont="0" applyFill="0" applyBorder="0" applyAlignment="0" applyProtection="0"/>
    <xf numFmtId="0" fontId="4" fillId="0" borderId="0"/>
    <xf numFmtId="43"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0" borderId="0"/>
    <xf numFmtId="0" fontId="5" fillId="23" borderId="7" applyNumberFormat="0" applyFont="0" applyAlignment="0" applyProtection="0"/>
    <xf numFmtId="0" fontId="18" fillId="20" borderId="8" applyNumberFormat="0" applyAlignment="0" applyProtection="0"/>
    <xf numFmtId="9" fontId="4"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 fillId="0" borderId="0"/>
    <xf numFmtId="0" fontId="5" fillId="0" borderId="0"/>
    <xf numFmtId="0" fontId="2" fillId="0" borderId="0"/>
    <xf numFmtId="9" fontId="2" fillId="0" borderId="0" applyFont="0" applyFill="0" applyBorder="0" applyAlignment="0" applyProtection="0"/>
    <xf numFmtId="0" fontId="4" fillId="0" borderId="0"/>
    <xf numFmtId="164" fontId="4" fillId="0" borderId="0">
      <alignment horizontal="left" wrapText="1"/>
    </xf>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4"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xf numFmtId="0" fontId="4" fillId="0" borderId="0"/>
    <xf numFmtId="0" fontId="4" fillId="0" borderId="0"/>
    <xf numFmtId="0" fontId="4" fillId="0" borderId="0"/>
    <xf numFmtId="166" fontId="4" fillId="0" borderId="0" applyFont="0" applyFill="0" applyBorder="0" applyAlignment="0" applyProtection="0"/>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9" fontId="2" fillId="0" borderId="0" applyFont="0" applyFill="0" applyBorder="0" applyAlignment="0" applyProtection="0"/>
    <xf numFmtId="43" fontId="2" fillId="0" borderId="0" applyFont="0" applyFill="0" applyBorder="0" applyAlignment="0" applyProtection="0"/>
    <xf numFmtId="0" fontId="53" fillId="0" borderId="0"/>
    <xf numFmtId="0" fontId="4" fillId="0" borderId="0"/>
  </cellStyleXfs>
  <cellXfs count="908">
    <xf numFmtId="0" fontId="0" fillId="0" borderId="0" xfId="0"/>
    <xf numFmtId="0" fontId="0" fillId="0" borderId="0" xfId="0" applyAlignment="1">
      <alignment horizontal="left"/>
    </xf>
    <xf numFmtId="0" fontId="0" fillId="0" borderId="0" xfId="0" applyNumberFormat="1" applyAlignment="1">
      <alignment horizontal="left"/>
    </xf>
    <xf numFmtId="0" fontId="1" fillId="0" borderId="0" xfId="0" applyFont="1" applyAlignment="1">
      <alignment horizontal="left"/>
    </xf>
    <xf numFmtId="42" fontId="0" fillId="0" borderId="0" xfId="0" applyNumberFormat="1" applyFill="1"/>
    <xf numFmtId="0" fontId="0" fillId="0" borderId="0" xfId="0"/>
    <xf numFmtId="0" fontId="0" fillId="0" borderId="0" xfId="0" applyFill="1"/>
    <xf numFmtId="0" fontId="0" fillId="0" borderId="0" xfId="0"/>
    <xf numFmtId="165" fontId="0" fillId="0" borderId="0" xfId="0" applyNumberFormat="1"/>
    <xf numFmtId="42" fontId="0" fillId="0" borderId="0" xfId="0" applyNumberFormat="1"/>
    <xf numFmtId="0" fontId="3" fillId="0" borderId="0" xfId="0" applyFont="1"/>
    <xf numFmtId="44" fontId="0" fillId="0" borderId="0" xfId="0" applyNumberFormat="1"/>
    <xf numFmtId="0" fontId="0" fillId="0" borderId="0" xfId="0"/>
    <xf numFmtId="0" fontId="3" fillId="0" borderId="0" xfId="0" applyFont="1"/>
    <xf numFmtId="0" fontId="0" fillId="0" borderId="0" xfId="0" applyAlignment="1">
      <alignment horizontal="right"/>
    </xf>
    <xf numFmtId="0" fontId="0" fillId="0" borderId="0" xfId="0" applyFont="1"/>
    <xf numFmtId="0" fontId="0" fillId="0" borderId="0" xfId="0" applyBorder="1"/>
    <xf numFmtId="0" fontId="0" fillId="0" borderId="0" xfId="0" applyFill="1" applyBorder="1"/>
    <xf numFmtId="165" fontId="0" fillId="0" borderId="0" xfId="0" applyNumberFormat="1"/>
    <xf numFmtId="9" fontId="0" fillId="0" borderId="0" xfId="0" applyNumberFormat="1"/>
    <xf numFmtId="0" fontId="0" fillId="0" borderId="17" xfId="0" applyBorder="1"/>
    <xf numFmtId="165" fontId="0" fillId="0" borderId="17" xfId="0" applyNumberFormat="1" applyBorder="1"/>
    <xf numFmtId="3" fontId="0" fillId="0" borderId="17" xfId="0" applyNumberFormat="1" applyBorder="1"/>
    <xf numFmtId="167" fontId="0" fillId="0" borderId="0" xfId="0" applyNumberFormat="1"/>
    <xf numFmtId="10" fontId="0" fillId="0" borderId="0" xfId="0" applyNumberFormat="1"/>
    <xf numFmtId="0" fontId="0" fillId="24" borderId="0" xfId="0" applyFill="1"/>
    <xf numFmtId="0" fontId="0" fillId="0" borderId="17" xfId="0" applyFont="1" applyBorder="1"/>
    <xf numFmtId="3" fontId="0" fillId="0" borderId="0" xfId="0" applyNumberFormat="1" applyBorder="1"/>
    <xf numFmtId="165" fontId="0" fillId="0" borderId="0" xfId="0" applyNumberFormat="1" applyBorder="1"/>
    <xf numFmtId="168" fontId="0" fillId="0" borderId="0" xfId="0" applyNumberFormat="1" applyBorder="1"/>
    <xf numFmtId="9" fontId="0" fillId="0" borderId="0" xfId="0" applyNumberFormat="1" applyBorder="1"/>
    <xf numFmtId="0" fontId="0" fillId="0" borderId="0" xfId="0" applyFont="1" applyFill="1" applyBorder="1"/>
    <xf numFmtId="165" fontId="0" fillId="0" borderId="0" xfId="0" applyNumberFormat="1" applyFill="1" applyBorder="1"/>
    <xf numFmtId="0" fontId="3" fillId="0" borderId="0" xfId="0" applyFont="1" applyBorder="1"/>
    <xf numFmtId="170" fontId="0" fillId="0" borderId="0" xfId="0" applyNumberFormat="1" applyBorder="1"/>
    <xf numFmtId="3" fontId="0" fillId="0" borderId="0" xfId="0" applyNumberFormat="1" applyFill="1"/>
    <xf numFmtId="0" fontId="26" fillId="0" borderId="0" xfId="0" applyNumberFormat="1" applyFont="1" applyFill="1" applyBorder="1" applyAlignment="1" applyProtection="1">
      <alignment horizontal="center"/>
    </xf>
    <xf numFmtId="0" fontId="0" fillId="0" borderId="0" xfId="0"/>
    <xf numFmtId="0" fontId="0" fillId="0" borderId="0" xfId="0" applyAlignment="1">
      <alignment horizontal="left"/>
    </xf>
    <xf numFmtId="42" fontId="0" fillId="0" borderId="0" xfId="0" applyNumberFormat="1"/>
    <xf numFmtId="0" fontId="0" fillId="0" borderId="0" xfId="0" applyFill="1"/>
    <xf numFmtId="165" fontId="0" fillId="0" borderId="0" xfId="0" applyNumberFormat="1"/>
    <xf numFmtId="0" fontId="3" fillId="0" borderId="0" xfId="0" applyFont="1"/>
    <xf numFmtId="166" fontId="0" fillId="0" borderId="0" xfId="0" applyNumberFormat="1"/>
    <xf numFmtId="9" fontId="0" fillId="0" borderId="0" xfId="0" applyNumberFormat="1"/>
    <xf numFmtId="168" fontId="0" fillId="0" borderId="0" xfId="0" applyNumberFormat="1"/>
    <xf numFmtId="0" fontId="0" fillId="0" borderId="0" xfId="0" applyAlignment="1">
      <alignment horizontal="right"/>
    </xf>
    <xf numFmtId="10" fontId="0" fillId="0" borderId="0" xfId="0" applyNumberFormat="1"/>
    <xf numFmtId="0" fontId="0" fillId="0" borderId="0" xfId="0" applyFont="1" applyBorder="1"/>
    <xf numFmtId="165" fontId="0" fillId="0" borderId="0" xfId="0" applyNumberFormat="1" applyBorder="1"/>
    <xf numFmtId="2" fontId="0" fillId="0" borderId="0" xfId="0" applyNumberFormat="1"/>
    <xf numFmtId="0" fontId="0" fillId="0" borderId="0" xfId="0"/>
    <xf numFmtId="0" fontId="0" fillId="0" borderId="0" xfId="0" applyFont="1" applyBorder="1" applyAlignment="1">
      <alignment horizontal="left"/>
    </xf>
    <xf numFmtId="0" fontId="27" fillId="0" borderId="0" xfId="0" applyFont="1" applyBorder="1" applyAlignment="1">
      <alignment vertical="top" wrapText="1"/>
    </xf>
    <xf numFmtId="0" fontId="0" fillId="0" borderId="0" xfId="0" applyFont="1" applyBorder="1" applyAlignment="1"/>
    <xf numFmtId="0" fontId="27" fillId="0" borderId="0" xfId="0" applyFont="1" applyBorder="1" applyAlignment="1">
      <alignment vertical="top"/>
    </xf>
    <xf numFmtId="0" fontId="5" fillId="0" borderId="0" xfId="0" applyFont="1" applyBorder="1" applyAlignment="1">
      <alignment vertical="top" wrapText="1"/>
    </xf>
    <xf numFmtId="3" fontId="0" fillId="0" borderId="0" xfId="0" applyNumberFormat="1"/>
    <xf numFmtId="0" fontId="0" fillId="0" borderId="0" xfId="0"/>
    <xf numFmtId="0" fontId="3" fillId="0" borderId="0" xfId="0" applyFont="1"/>
    <xf numFmtId="0" fontId="0" fillId="0" borderId="0" xfId="0" applyFont="1"/>
    <xf numFmtId="0" fontId="0" fillId="0" borderId="0" xfId="0" applyFill="1"/>
    <xf numFmtId="0" fontId="0" fillId="0" borderId="0" xfId="0" applyFill="1" applyBorder="1"/>
    <xf numFmtId="0" fontId="0" fillId="0" borderId="0" xfId="0" applyAlignment="1">
      <alignment horizontal="right"/>
    </xf>
    <xf numFmtId="42" fontId="0" fillId="0" borderId="0" xfId="0" applyNumberFormat="1"/>
    <xf numFmtId="44" fontId="0" fillId="0" borderId="0" xfId="0" applyNumberFormat="1"/>
    <xf numFmtId="0" fontId="0" fillId="0" borderId="0" xfId="0"/>
    <xf numFmtId="0" fontId="0" fillId="0" borderId="0" xfId="0" applyBorder="1"/>
    <xf numFmtId="167" fontId="0" fillId="0" borderId="0" xfId="0" applyNumberFormat="1" applyFill="1"/>
    <xf numFmtId="1" fontId="0" fillId="0" borderId="0" xfId="0" applyNumberFormat="1" applyAlignment="1">
      <alignment horizontal="center"/>
    </xf>
    <xf numFmtId="42" fontId="3" fillId="0" borderId="0" xfId="0" applyNumberFormat="1" applyFont="1" applyFill="1"/>
    <xf numFmtId="0" fontId="0" fillId="0" borderId="0" xfId="0"/>
    <xf numFmtId="0" fontId="3" fillId="0" borderId="0" xfId="0" applyFont="1" applyAlignment="1">
      <alignment horizontal="left"/>
    </xf>
    <xf numFmtId="1" fontId="0" fillId="0" borderId="0" xfId="0" applyNumberFormat="1" applyBorder="1"/>
    <xf numFmtId="0" fontId="0" fillId="0" borderId="20" xfId="0" applyBorder="1"/>
    <xf numFmtId="0" fontId="0" fillId="0" borderId="20" xfId="0" applyBorder="1" applyAlignment="1">
      <alignment horizontal="left" vertical="center"/>
    </xf>
    <xf numFmtId="0" fontId="0" fillId="0" borderId="0" xfId="0" applyAlignment="1">
      <alignment vertical="center"/>
    </xf>
    <xf numFmtId="0" fontId="30" fillId="0" borderId="0" xfId="0" applyFont="1"/>
    <xf numFmtId="0" fontId="0" fillId="0" borderId="0" xfId="0" applyFont="1" applyFill="1"/>
    <xf numFmtId="0" fontId="0" fillId="0" borderId="17" xfId="0" applyFill="1" applyBorder="1"/>
    <xf numFmtId="169" fontId="0" fillId="0" borderId="0" xfId="0" applyNumberFormat="1"/>
    <xf numFmtId="0" fontId="3" fillId="0" borderId="0" xfId="0" applyFont="1" applyFill="1"/>
    <xf numFmtId="0" fontId="0" fillId="0" borderId="0" xfId="0" applyFont="1" applyAlignment="1">
      <alignment horizontal="right"/>
    </xf>
    <xf numFmtId="0" fontId="0" fillId="0" borderId="0" xfId="0" applyFont="1" applyAlignment="1">
      <alignment horizontal="left"/>
    </xf>
    <xf numFmtId="165" fontId="0" fillId="0" borderId="0" xfId="0" applyNumberFormat="1" applyAlignment="1">
      <alignment horizontal="right"/>
    </xf>
    <xf numFmtId="3" fontId="0" fillId="0" borderId="0" xfId="0" applyNumberFormat="1" applyFill="1" applyBorder="1"/>
    <xf numFmtId="42" fontId="0" fillId="0" borderId="0" xfId="0" applyNumberFormat="1" applyFont="1" applyFill="1"/>
    <xf numFmtId="42" fontId="22" fillId="0" borderId="0" xfId="0" applyNumberFormat="1" applyFont="1" applyFill="1"/>
    <xf numFmtId="9" fontId="3" fillId="0" borderId="0" xfId="0" applyNumberFormat="1" applyFont="1" applyFill="1"/>
    <xf numFmtId="166" fontId="0" fillId="0" borderId="0" xfId="0" applyNumberFormat="1" applyFill="1"/>
    <xf numFmtId="42" fontId="3" fillId="0" borderId="0" xfId="0" applyNumberFormat="1" applyFont="1"/>
    <xf numFmtId="42" fontId="0" fillId="0" borderId="0" xfId="0" applyNumberFormat="1" applyFont="1"/>
    <xf numFmtId="9" fontId="0" fillId="0" borderId="0" xfId="0" applyNumberFormat="1" applyFont="1" applyFill="1"/>
    <xf numFmtId="166" fontId="0" fillId="0" borderId="0" xfId="0" applyNumberFormat="1" applyFont="1" applyFill="1"/>
    <xf numFmtId="166" fontId="3" fillId="0" borderId="0" xfId="0" applyNumberFormat="1" applyFont="1" applyFill="1"/>
    <xf numFmtId="0" fontId="5" fillId="0" borderId="0" xfId="0" applyFont="1" applyBorder="1" applyAlignment="1">
      <alignment vertical="top" wrapText="1"/>
    </xf>
    <xf numFmtId="49" fontId="3" fillId="0" borderId="0" xfId="0" applyNumberFormat="1" applyFont="1" applyFill="1" applyAlignment="1">
      <alignment horizontal="left"/>
    </xf>
    <xf numFmtId="1" fontId="3" fillId="0" borderId="0" xfId="0" applyNumberFormat="1" applyFont="1"/>
    <xf numFmtId="37" fontId="3" fillId="0" borderId="0" xfId="0" applyNumberFormat="1" applyFont="1"/>
    <xf numFmtId="0" fontId="3" fillId="0" borderId="0" xfId="0" applyFont="1" applyAlignment="1">
      <alignment horizontal="right"/>
    </xf>
    <xf numFmtId="0" fontId="32" fillId="0" borderId="0" xfId="0" applyFont="1"/>
    <xf numFmtId="0" fontId="32" fillId="0" borderId="0" xfId="0" applyFont="1" applyAlignment="1">
      <alignment horizontal="left"/>
    </xf>
    <xf numFmtId="0" fontId="5" fillId="0" borderId="17" xfId="0" applyFont="1" applyBorder="1" applyAlignment="1">
      <alignment vertical="top" wrapText="1"/>
    </xf>
    <xf numFmtId="0" fontId="27" fillId="0" borderId="17" xfId="0" applyFont="1" applyFill="1" applyBorder="1" applyAlignment="1">
      <alignment vertical="top"/>
    </xf>
    <xf numFmtId="168" fontId="0" fillId="0" borderId="0" xfId="0" applyNumberFormat="1" applyAlignment="1">
      <alignment horizontal="right"/>
    </xf>
    <xf numFmtId="9" fontId="0" fillId="0" borderId="0" xfId="0" applyNumberFormat="1" applyFont="1"/>
    <xf numFmtId="42" fontId="0" fillId="0" borderId="17" xfId="0" applyNumberFormat="1" applyBorder="1"/>
    <xf numFmtId="42" fontId="0" fillId="0" borderId="0" xfId="133" applyNumberFormat="1" applyFont="1"/>
    <xf numFmtId="9" fontId="28" fillId="0" borderId="0" xfId="0" applyNumberFormat="1" applyFont="1" applyBorder="1"/>
    <xf numFmtId="42" fontId="0" fillId="0" borderId="17" xfId="133" applyNumberFormat="1" applyFont="1" applyBorder="1"/>
    <xf numFmtId="165" fontId="0" fillId="0" borderId="0" xfId="0" applyNumberFormat="1" applyFont="1"/>
    <xf numFmtId="0" fontId="0" fillId="0" borderId="17" xfId="0" applyFont="1" applyFill="1" applyBorder="1"/>
    <xf numFmtId="169" fontId="0" fillId="0" borderId="0" xfId="133" applyNumberFormat="1" applyFont="1"/>
    <xf numFmtId="169" fontId="0" fillId="0" borderId="17" xfId="133" applyNumberFormat="1" applyFont="1" applyBorder="1"/>
    <xf numFmtId="3" fontId="29" fillId="0" borderId="0" xfId="0" applyNumberFormat="1" applyFont="1"/>
    <xf numFmtId="169" fontId="3" fillId="0" borderId="0" xfId="0" applyNumberFormat="1" applyFont="1" applyFill="1"/>
    <xf numFmtId="0" fontId="33" fillId="0" borderId="0" xfId="134"/>
    <xf numFmtId="14" fontId="0" fillId="0" borderId="0" xfId="0" applyNumberFormat="1" applyAlignment="1">
      <alignment horizontal="left"/>
    </xf>
    <xf numFmtId="1" fontId="3" fillId="0" borderId="0" xfId="0" applyNumberFormat="1" applyFont="1" applyFill="1"/>
    <xf numFmtId="1" fontId="0" fillId="0" borderId="0" xfId="0" applyNumberFormat="1" applyFill="1"/>
    <xf numFmtId="9" fontId="3" fillId="0" borderId="0" xfId="0" applyNumberFormat="1" applyFont="1"/>
    <xf numFmtId="0" fontId="4" fillId="25" borderId="11" xfId="3" applyFill="1" applyBorder="1"/>
    <xf numFmtId="0" fontId="4" fillId="0" borderId="0" xfId="3" applyBorder="1"/>
    <xf numFmtId="0" fontId="4" fillId="0" borderId="0" xfId="3"/>
    <xf numFmtId="0" fontId="4" fillId="0" borderId="0" xfId="3" applyFont="1" applyAlignment="1">
      <alignment wrapText="1"/>
    </xf>
    <xf numFmtId="0" fontId="23" fillId="0" borderId="0" xfId="3" applyFont="1" applyBorder="1"/>
    <xf numFmtId="0" fontId="23" fillId="0" borderId="0" xfId="3" applyFont="1"/>
    <xf numFmtId="0" fontId="35" fillId="0" borderId="0" xfId="3" applyFont="1"/>
    <xf numFmtId="0" fontId="4" fillId="0" borderId="0" xfId="3" applyBorder="1" applyAlignment="1">
      <alignment horizontal="left"/>
    </xf>
    <xf numFmtId="0" fontId="4" fillId="0" borderId="0" xfId="3" applyFill="1" applyBorder="1" applyAlignment="1">
      <alignment horizontal="left"/>
    </xf>
    <xf numFmtId="0" fontId="35" fillId="0" borderId="0" xfId="3" applyFont="1" applyBorder="1"/>
    <xf numFmtId="0" fontId="4" fillId="0" borderId="0" xfId="3" applyFill="1" applyBorder="1"/>
    <xf numFmtId="167" fontId="4" fillId="0" borderId="0" xfId="3" applyNumberFormat="1" applyBorder="1"/>
    <xf numFmtId="0" fontId="23" fillId="0" borderId="0" xfId="3" applyFont="1" applyFill="1"/>
    <xf numFmtId="0" fontId="4" fillId="0" borderId="0" xfId="3" applyFill="1"/>
    <xf numFmtId="9" fontId="4" fillId="26" borderId="12" xfId="3" applyNumberFormat="1" applyFill="1" applyBorder="1"/>
    <xf numFmtId="2" fontId="4" fillId="0" borderId="0" xfId="3" applyNumberFormat="1"/>
    <xf numFmtId="172" fontId="4" fillId="0" borderId="0" xfId="3" applyNumberFormat="1"/>
    <xf numFmtId="0" fontId="4" fillId="0" borderId="0" xfId="3" applyFont="1" applyBorder="1"/>
    <xf numFmtId="166" fontId="4" fillId="0" borderId="0" xfId="3" applyNumberFormat="1"/>
    <xf numFmtId="166" fontId="4" fillId="0" borderId="12" xfId="3" applyNumberFormat="1" applyBorder="1"/>
    <xf numFmtId="3" fontId="4" fillId="0" borderId="0" xfId="3" applyNumberFormat="1"/>
    <xf numFmtId="0" fontId="28" fillId="0" borderId="0" xfId="0" applyFont="1" applyFill="1" applyBorder="1"/>
    <xf numFmtId="10" fontId="4" fillId="24" borderId="12" xfId="3" applyNumberFormat="1" applyFill="1" applyBorder="1"/>
    <xf numFmtId="166" fontId="4" fillId="26" borderId="12" xfId="3" applyNumberFormat="1" applyFont="1" applyFill="1" applyBorder="1" applyAlignment="1">
      <alignment horizontal="right"/>
    </xf>
    <xf numFmtId="166" fontId="4" fillId="26" borderId="12" xfId="3" applyNumberFormat="1" applyFont="1" applyFill="1" applyBorder="1"/>
    <xf numFmtId="40" fontId="4" fillId="0" borderId="0" xfId="3" applyNumberFormat="1"/>
    <xf numFmtId="3" fontId="4" fillId="0" borderId="0" xfId="3" applyNumberFormat="1" applyBorder="1"/>
    <xf numFmtId="174" fontId="4" fillId="0" borderId="0" xfId="3" applyNumberFormat="1"/>
    <xf numFmtId="171" fontId="4" fillId="0" borderId="0" xfId="3" applyNumberFormat="1"/>
    <xf numFmtId="44" fontId="3" fillId="0" borderId="0" xfId="0" applyNumberFormat="1" applyFont="1"/>
    <xf numFmtId="169" fontId="3" fillId="0" borderId="0" xfId="0" applyNumberFormat="1" applyFont="1"/>
    <xf numFmtId="169" fontId="0" fillId="0" borderId="0" xfId="0" applyNumberFormat="1" applyFont="1"/>
    <xf numFmtId="44" fontId="0" fillId="0" borderId="0" xfId="0" applyNumberFormat="1" applyFont="1"/>
    <xf numFmtId="1" fontId="0" fillId="0" borderId="0" xfId="0" applyNumberFormat="1" applyFont="1" applyFill="1"/>
    <xf numFmtId="0" fontId="3" fillId="0" borderId="17" xfId="0" applyFont="1" applyBorder="1" applyAlignment="1">
      <alignment horizontal="left"/>
    </xf>
    <xf numFmtId="0" fontId="3" fillId="0" borderId="17" xfId="0" applyFont="1" applyBorder="1"/>
    <xf numFmtId="169" fontId="3" fillId="0" borderId="17" xfId="0" applyNumberFormat="1" applyFont="1" applyBorder="1"/>
    <xf numFmtId="166" fontId="3" fillId="0" borderId="17" xfId="0" applyNumberFormat="1" applyFont="1" applyBorder="1"/>
    <xf numFmtId="44" fontId="3" fillId="0" borderId="17" xfId="0" applyNumberFormat="1" applyFont="1" applyBorder="1"/>
    <xf numFmtId="9" fontId="3" fillId="0" borderId="17" xfId="0" applyNumberFormat="1" applyFont="1" applyFill="1" applyBorder="1"/>
    <xf numFmtId="166" fontId="3" fillId="0" borderId="17" xfId="0" applyNumberFormat="1" applyFont="1" applyFill="1" applyBorder="1"/>
    <xf numFmtId="3" fontId="0" fillId="0" borderId="0" xfId="0" applyNumberFormat="1" applyFont="1"/>
    <xf numFmtId="175" fontId="3" fillId="0" borderId="0" xfId="0" applyNumberFormat="1" applyFont="1"/>
    <xf numFmtId="175" fontId="0" fillId="0" borderId="0" xfId="0" applyNumberFormat="1" applyFont="1"/>
    <xf numFmtId="0" fontId="0" fillId="0" borderId="0" xfId="0" applyNumberFormat="1" applyFont="1" applyAlignment="1">
      <alignment horizontal="left"/>
    </xf>
    <xf numFmtId="175" fontId="3" fillId="0" borderId="17" xfId="0" applyNumberFormat="1" applyFont="1" applyBorder="1"/>
    <xf numFmtId="165" fontId="3" fillId="0" borderId="17" xfId="0" applyNumberFormat="1" applyFont="1" applyBorder="1"/>
    <xf numFmtId="0" fontId="25" fillId="25" borderId="11" xfId="3" applyFont="1" applyFill="1" applyBorder="1"/>
    <xf numFmtId="0" fontId="4" fillId="25" borderId="11" xfId="3" applyFill="1" applyBorder="1"/>
    <xf numFmtId="0" fontId="4" fillId="0" borderId="0" xfId="3" applyBorder="1"/>
    <xf numFmtId="0" fontId="4" fillId="0" borderId="0" xfId="3"/>
    <xf numFmtId="0" fontId="23" fillId="0" borderId="0" xfId="3" applyFont="1" applyBorder="1"/>
    <xf numFmtId="0" fontId="31" fillId="0" borderId="0" xfId="3" applyFont="1" applyBorder="1"/>
    <xf numFmtId="0" fontId="37" fillId="0" borderId="0" xfId="3" applyFont="1" applyBorder="1"/>
    <xf numFmtId="0" fontId="4" fillId="0" borderId="17" xfId="3" applyBorder="1"/>
    <xf numFmtId="0" fontId="38" fillId="0" borderId="0" xfId="3" applyFont="1" applyBorder="1"/>
    <xf numFmtId="0" fontId="4" fillId="0" borderId="16" xfId="3" applyBorder="1"/>
    <xf numFmtId="172" fontId="4" fillId="0" borderId="12" xfId="3" applyNumberFormat="1" applyBorder="1"/>
    <xf numFmtId="0" fontId="36" fillId="0" borderId="0" xfId="3" applyFont="1" applyBorder="1"/>
    <xf numFmtId="0" fontId="4" fillId="0" borderId="11" xfId="3" applyBorder="1"/>
    <xf numFmtId="0" fontId="4" fillId="0" borderId="0" xfId="3" applyFill="1" applyBorder="1"/>
    <xf numFmtId="0" fontId="4" fillId="0" borderId="17" xfId="3" applyBorder="1" applyAlignment="1">
      <alignment horizontal="right"/>
    </xf>
    <xf numFmtId="0" fontId="4" fillId="0" borderId="10" xfId="3" applyFont="1" applyBorder="1"/>
    <xf numFmtId="0" fontId="4" fillId="0" borderId="13" xfId="3" applyBorder="1"/>
    <xf numFmtId="172" fontId="4" fillId="0" borderId="13" xfId="3" applyNumberFormat="1" applyBorder="1"/>
    <xf numFmtId="0" fontId="4" fillId="0" borderId="0" xfId="3" applyBorder="1" applyAlignment="1">
      <alignment horizontal="left"/>
    </xf>
    <xf numFmtId="0" fontId="4" fillId="0" borderId="10" xfId="3" applyBorder="1"/>
    <xf numFmtId="10" fontId="4" fillId="0" borderId="13" xfId="3" applyNumberFormat="1" applyBorder="1"/>
    <xf numFmtId="3" fontId="4" fillId="0" borderId="13" xfId="3" applyNumberFormat="1" applyBorder="1"/>
    <xf numFmtId="3" fontId="4" fillId="0" borderId="12" xfId="3" applyNumberFormat="1" applyBorder="1"/>
    <xf numFmtId="0" fontId="37" fillId="0" borderId="0" xfId="3" applyFont="1" applyFill="1" applyBorder="1"/>
    <xf numFmtId="3" fontId="4" fillId="0" borderId="13" xfId="3" applyNumberFormat="1" applyFont="1" applyBorder="1"/>
    <xf numFmtId="3" fontId="4" fillId="0" borderId="12" xfId="3" applyNumberFormat="1" applyFont="1" applyBorder="1"/>
    <xf numFmtId="0" fontId="31" fillId="0" borderId="0" xfId="3" applyFont="1" applyFill="1" applyBorder="1"/>
    <xf numFmtId="165" fontId="4" fillId="0" borderId="0" xfId="3" applyNumberFormat="1" applyBorder="1"/>
    <xf numFmtId="3" fontId="4" fillId="0" borderId="0" xfId="3" applyNumberFormat="1" applyBorder="1"/>
    <xf numFmtId="2" fontId="4" fillId="0" borderId="12" xfId="3" applyNumberFormat="1" applyBorder="1"/>
    <xf numFmtId="0" fontId="3" fillId="0" borderId="0" xfId="0" applyFont="1" applyBorder="1" applyAlignment="1">
      <alignment horizontal="left"/>
    </xf>
    <xf numFmtId="0" fontId="3" fillId="0" borderId="0" xfId="0" applyFont="1" applyBorder="1" applyAlignment="1"/>
    <xf numFmtId="3" fontId="0" fillId="0" borderId="0" xfId="0" applyNumberFormat="1"/>
    <xf numFmtId="42" fontId="0" fillId="0" borderId="0" xfId="0" applyNumberFormat="1" applyFill="1"/>
    <xf numFmtId="169" fontId="0" fillId="0" borderId="0" xfId="133" applyNumberFormat="1" applyFont="1" applyFill="1"/>
    <xf numFmtId="42" fontId="39" fillId="0" borderId="0" xfId="133" applyNumberFormat="1" applyFont="1" applyBorder="1"/>
    <xf numFmtId="9" fontId="0" fillId="0" borderId="0" xfId="0" applyNumberFormat="1" applyFont="1" applyBorder="1"/>
    <xf numFmtId="0" fontId="27" fillId="0" borderId="17" xfId="0" applyFont="1" applyFill="1" applyBorder="1" applyAlignment="1">
      <alignment vertical="top" wrapText="1"/>
    </xf>
    <xf numFmtId="9" fontId="0" fillId="0" borderId="0" xfId="0" applyNumberFormat="1" applyFill="1"/>
    <xf numFmtId="169" fontId="0" fillId="0" borderId="17" xfId="0" applyNumberFormat="1" applyBorder="1"/>
    <xf numFmtId="42" fontId="39" fillId="0" borderId="0" xfId="0" applyNumberFormat="1" applyFont="1" applyBorder="1"/>
    <xf numFmtId="5" fontId="39" fillId="0" borderId="0" xfId="0" applyNumberFormat="1" applyFont="1" applyBorder="1"/>
    <xf numFmtId="0" fontId="0" fillId="0" borderId="0" xfId="0"/>
    <xf numFmtId="0" fontId="3" fillId="0" borderId="0" xfId="0" applyFont="1"/>
    <xf numFmtId="9" fontId="0" fillId="0" borderId="0" xfId="0" applyNumberFormat="1"/>
    <xf numFmtId="0" fontId="0" fillId="0" borderId="0" xfId="0" applyAlignment="1">
      <alignment horizontal="right"/>
    </xf>
    <xf numFmtId="0" fontId="0" fillId="0" borderId="0" xfId="0" applyBorder="1"/>
    <xf numFmtId="0" fontId="0" fillId="0" borderId="0" xfId="0" applyFill="1" applyBorder="1"/>
    <xf numFmtId="3" fontId="0" fillId="0" borderId="0" xfId="0" applyNumberFormat="1"/>
    <xf numFmtId="0" fontId="0" fillId="0" borderId="17" xfId="0" applyBorder="1"/>
    <xf numFmtId="165" fontId="0" fillId="0" borderId="17" xfId="0" applyNumberFormat="1" applyBorder="1"/>
    <xf numFmtId="0" fontId="0" fillId="24" borderId="0" xfId="0" applyFill="1" applyBorder="1"/>
    <xf numFmtId="0" fontId="0" fillId="0" borderId="17" xfId="0" applyFont="1" applyBorder="1"/>
    <xf numFmtId="165" fontId="0" fillId="0" borderId="0" xfId="0" applyNumberFormat="1" applyBorder="1"/>
    <xf numFmtId="165" fontId="0" fillId="0" borderId="0" xfId="0" applyNumberFormat="1" applyFill="1"/>
    <xf numFmtId="0" fontId="0" fillId="0" borderId="0" xfId="0" applyFill="1"/>
    <xf numFmtId="0" fontId="4" fillId="0" borderId="0" xfId="3" applyBorder="1"/>
    <xf numFmtId="0" fontId="4" fillId="0" borderId="0" xfId="3"/>
    <xf numFmtId="0" fontId="4" fillId="0" borderId="0" xfId="3" applyFont="1" applyAlignment="1">
      <alignment wrapText="1"/>
    </xf>
    <xf numFmtId="169" fontId="0" fillId="0" borderId="0" xfId="133" applyNumberFormat="1" applyFont="1"/>
    <xf numFmtId="0" fontId="0" fillId="0" borderId="0" xfId="0" applyFill="1" applyBorder="1" applyAlignment="1">
      <alignment horizontal="right"/>
    </xf>
    <xf numFmtId="169" fontId="0" fillId="0" borderId="0" xfId="133" applyNumberFormat="1" applyFont="1" applyFill="1" applyBorder="1"/>
    <xf numFmtId="169" fontId="0" fillId="0" borderId="17" xfId="133" applyNumberFormat="1" applyFont="1" applyFill="1" applyBorder="1"/>
    <xf numFmtId="0" fontId="0" fillId="0" borderId="0" xfId="0" applyNumberFormat="1" applyFont="1" applyFill="1" applyBorder="1" applyAlignment="1" applyProtection="1"/>
    <xf numFmtId="0" fontId="0" fillId="0" borderId="0" xfId="0" applyBorder="1" applyAlignment="1">
      <alignment vertical="center"/>
    </xf>
    <xf numFmtId="0" fontId="0" fillId="0" borderId="0" xfId="0" applyBorder="1" applyAlignment="1">
      <alignment horizontal="left" vertical="center"/>
    </xf>
    <xf numFmtId="169" fontId="0" fillId="0" borderId="0" xfId="133" applyNumberFormat="1" applyFont="1" applyBorder="1"/>
    <xf numFmtId="169" fontId="0" fillId="0" borderId="20" xfId="133" applyNumberFormat="1" applyFont="1" applyBorder="1"/>
    <xf numFmtId="0" fontId="29" fillId="0" borderId="0" xfId="0" applyNumberFormat="1" applyFont="1" applyFill="1" applyBorder="1" applyAlignment="1" applyProtection="1">
      <alignment horizontal="left"/>
    </xf>
    <xf numFmtId="0" fontId="29" fillId="0" borderId="0" xfId="0" applyNumberFormat="1" applyFont="1" applyFill="1" applyBorder="1" applyAlignment="1" applyProtection="1">
      <alignment horizontal="left" vertical="top" wrapText="1"/>
    </xf>
    <xf numFmtId="169" fontId="29" fillId="0" borderId="0" xfId="133" applyNumberFormat="1" applyFont="1" applyFill="1" applyBorder="1" applyAlignment="1" applyProtection="1">
      <protection locked="0"/>
    </xf>
    <xf numFmtId="0" fontId="0" fillId="0" borderId="0" xfId="0" applyFill="1" applyBorder="1" applyAlignment="1">
      <alignment vertical="center"/>
    </xf>
    <xf numFmtId="0" fontId="0" fillId="0" borderId="0" xfId="0" applyFill="1" applyBorder="1" applyAlignment="1">
      <alignment horizontal="left" vertical="center"/>
    </xf>
    <xf numFmtId="9" fontId="0" fillId="0" borderId="0" xfId="0" applyNumberFormat="1" applyFill="1" applyBorder="1"/>
    <xf numFmtId="0" fontId="28" fillId="0" borderId="17" xfId="0" applyFont="1" applyFill="1" applyBorder="1" applyAlignment="1"/>
    <xf numFmtId="0" fontId="28" fillId="0" borderId="0" xfId="0" applyFont="1" applyBorder="1"/>
    <xf numFmtId="0" fontId="40" fillId="0" borderId="0" xfId="0" applyFont="1" applyFill="1" applyBorder="1" applyAlignment="1">
      <alignment horizontal="center"/>
    </xf>
    <xf numFmtId="0" fontId="28" fillId="27" borderId="18" xfId="0" applyFont="1" applyFill="1" applyBorder="1" applyAlignment="1"/>
    <xf numFmtId="165" fontId="28" fillId="0" borderId="0" xfId="0" applyNumberFormat="1" applyFont="1" applyBorder="1"/>
    <xf numFmtId="0" fontId="28" fillId="27" borderId="15" xfId="0" applyFont="1" applyFill="1" applyBorder="1" applyAlignment="1"/>
    <xf numFmtId="3" fontId="28" fillId="0" borderId="12" xfId="0" applyNumberFormat="1" applyFont="1" applyBorder="1"/>
    <xf numFmtId="9" fontId="23" fillId="0" borderId="12" xfId="2" applyFont="1" applyFill="1" applyBorder="1" applyAlignment="1">
      <alignment horizontal="center"/>
    </xf>
    <xf numFmtId="0" fontId="40" fillId="0" borderId="0" xfId="0" applyFont="1" applyFill="1" applyBorder="1" applyAlignment="1">
      <alignment horizontal="center" wrapText="1"/>
    </xf>
    <xf numFmtId="0" fontId="0" fillId="0" borderId="0" xfId="0"/>
    <xf numFmtId="0" fontId="0" fillId="0" borderId="0" xfId="0" applyFill="1" applyBorder="1"/>
    <xf numFmtId="0" fontId="28" fillId="0" borderId="10" xfId="0" applyFont="1" applyBorder="1"/>
    <xf numFmtId="165" fontId="28" fillId="0" borderId="12" xfId="0" applyNumberFormat="1" applyFont="1" applyBorder="1"/>
    <xf numFmtId="0" fontId="0" fillId="0" borderId="0" xfId="0"/>
    <xf numFmtId="165" fontId="28" fillId="0" borderId="12" xfId="0" applyNumberFormat="1" applyFont="1" applyBorder="1"/>
    <xf numFmtId="0" fontId="0" fillId="0" borderId="0" xfId="0"/>
    <xf numFmtId="0" fontId="0" fillId="0" borderId="12" xfId="0" applyBorder="1"/>
    <xf numFmtId="167" fontId="0" fillId="0" borderId="12" xfId="0" applyNumberFormat="1" applyBorder="1"/>
    <xf numFmtId="0" fontId="28" fillId="0" borderId="10" xfId="0" applyFont="1" applyBorder="1"/>
    <xf numFmtId="166" fontId="28" fillId="0" borderId="12" xfId="0" applyNumberFormat="1" applyFont="1" applyBorder="1"/>
    <xf numFmtId="170" fontId="28" fillId="0" borderId="12" xfId="0" applyNumberFormat="1" applyFont="1" applyBorder="1"/>
    <xf numFmtId="0" fontId="40" fillId="27" borderId="18" xfId="0" applyFont="1" applyFill="1" applyBorder="1" applyAlignment="1">
      <alignment horizontal="center"/>
    </xf>
    <xf numFmtId="0" fontId="40" fillId="27" borderId="12" xfId="0" applyFont="1" applyFill="1" applyBorder="1" applyAlignment="1">
      <alignment horizontal="center"/>
    </xf>
    <xf numFmtId="0" fontId="40" fillId="27" borderId="15" xfId="0" applyFont="1" applyFill="1" applyBorder="1" applyAlignment="1">
      <alignment horizontal="center"/>
    </xf>
    <xf numFmtId="0" fontId="28" fillId="0" borderId="10" xfId="0" applyFont="1" applyBorder="1"/>
    <xf numFmtId="165" fontId="28" fillId="0" borderId="12" xfId="0" applyNumberFormat="1" applyFont="1" applyBorder="1"/>
    <xf numFmtId="0" fontId="28" fillId="0" borderId="10" xfId="0" applyFont="1" applyBorder="1"/>
    <xf numFmtId="165" fontId="28" fillId="0" borderId="12" xfId="0" applyNumberFormat="1" applyFont="1" applyBorder="1"/>
    <xf numFmtId="166" fontId="0" fillId="0" borderId="0" xfId="0" applyNumberFormat="1"/>
    <xf numFmtId="0" fontId="0" fillId="0" borderId="12" xfId="0" applyBorder="1"/>
    <xf numFmtId="166" fontId="28" fillId="0" borderId="12" xfId="0" applyNumberFormat="1" applyFont="1" applyBorder="1"/>
    <xf numFmtId="0" fontId="28" fillId="0" borderId="12" xfId="0" applyFont="1" applyBorder="1"/>
    <xf numFmtId="167" fontId="28" fillId="0" borderId="12" xfId="0" applyNumberFormat="1" applyFont="1" applyBorder="1"/>
    <xf numFmtId="0" fontId="0" fillId="0" borderId="10" xfId="0" applyBorder="1"/>
    <xf numFmtId="0" fontId="0" fillId="0" borderId="13" xfId="0" applyBorder="1"/>
    <xf numFmtId="0" fontId="40" fillId="27" borderId="12" xfId="0" applyFont="1" applyFill="1" applyBorder="1" applyAlignment="1">
      <alignment horizontal="center"/>
    </xf>
    <xf numFmtId="0" fontId="0" fillId="0" borderId="0" xfId="0"/>
    <xf numFmtId="0" fontId="28" fillId="0" borderId="0" xfId="0" applyFont="1" applyFill="1" applyBorder="1"/>
    <xf numFmtId="0" fontId="0" fillId="0" borderId="12" xfId="0" applyBorder="1"/>
    <xf numFmtId="166" fontId="28" fillId="0" borderId="12" xfId="0" applyNumberFormat="1" applyFont="1" applyBorder="1"/>
    <xf numFmtId="0" fontId="28" fillId="0" borderId="12" xfId="0" applyFont="1" applyBorder="1"/>
    <xf numFmtId="167" fontId="28" fillId="0" borderId="12" xfId="0" applyNumberFormat="1" applyFont="1" applyBorder="1"/>
    <xf numFmtId="0" fontId="0" fillId="0" borderId="10" xfId="0" applyBorder="1"/>
    <xf numFmtId="0" fontId="0" fillId="0" borderId="13" xfId="0" applyBorder="1"/>
    <xf numFmtId="0" fontId="40" fillId="27" borderId="18" xfId="0" applyFont="1" applyFill="1" applyBorder="1" applyAlignment="1">
      <alignment horizontal="center"/>
    </xf>
    <xf numFmtId="0" fontId="40" fillId="27" borderId="12" xfId="0" applyFont="1" applyFill="1" applyBorder="1" applyAlignment="1">
      <alignment horizontal="center"/>
    </xf>
    <xf numFmtId="2" fontId="0" fillId="0" borderId="0" xfId="0" applyNumberFormat="1"/>
    <xf numFmtId="0" fontId="23" fillId="0" borderId="12" xfId="55" applyFont="1" applyBorder="1"/>
    <xf numFmtId="0" fontId="4" fillId="0" borderId="12" xfId="55" applyFill="1" applyBorder="1"/>
    <xf numFmtId="9" fontId="4" fillId="0" borderId="12" xfId="2" applyBorder="1"/>
    <xf numFmtId="170" fontId="4" fillId="0" borderId="12" xfId="55" applyNumberFormat="1" applyFill="1" applyBorder="1"/>
    <xf numFmtId="0" fontId="0" fillId="0" borderId="0" xfId="0"/>
    <xf numFmtId="0" fontId="0" fillId="0" borderId="0" xfId="0" applyFill="1"/>
    <xf numFmtId="0" fontId="23" fillId="0" borderId="12" xfId="55" applyFont="1" applyFill="1" applyBorder="1" applyAlignment="1">
      <alignment horizontal="center"/>
    </xf>
    <xf numFmtId="0" fontId="23" fillId="0" borderId="12" xfId="55" applyFont="1" applyBorder="1" applyAlignment="1">
      <alignment horizontal="center"/>
    </xf>
    <xf numFmtId="4" fontId="23" fillId="0" borderId="12" xfId="55" applyNumberFormat="1" applyFont="1" applyBorder="1" applyAlignment="1">
      <alignment horizontal="center"/>
    </xf>
    <xf numFmtId="169" fontId="29" fillId="0" borderId="0" xfId="133" applyNumberFormat="1" applyFont="1" applyFill="1" applyBorder="1"/>
    <xf numFmtId="10" fontId="29" fillId="0" borderId="0" xfId="0" applyNumberFormat="1" applyFont="1" applyFill="1" applyBorder="1"/>
    <xf numFmtId="3" fontId="29" fillId="0" borderId="0" xfId="0" applyNumberFormat="1" applyFont="1" applyFill="1" applyBorder="1"/>
    <xf numFmtId="3" fontId="28" fillId="0" borderId="0" xfId="0" applyNumberFormat="1" applyFont="1" applyBorder="1"/>
    <xf numFmtId="0" fontId="40" fillId="27" borderId="15" xfId="0" applyFont="1" applyFill="1" applyBorder="1" applyAlignment="1">
      <alignment horizontal="center"/>
    </xf>
    <xf numFmtId="0" fontId="0" fillId="0" borderId="0" xfId="0" applyFill="1" applyBorder="1" applyAlignment="1">
      <alignment horizontal="center"/>
    </xf>
    <xf numFmtId="0" fontId="41" fillId="0" borderId="0" xfId="0" applyFont="1" applyBorder="1" applyAlignment="1">
      <alignment vertical="top" wrapText="1"/>
    </xf>
    <xf numFmtId="169" fontId="2" fillId="0" borderId="0" xfId="133" applyNumberFormat="1" applyFont="1" applyFill="1" applyBorder="1"/>
    <xf numFmtId="3"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0" fillId="0" borderId="0" xfId="0" applyFill="1" applyBorder="1" applyAlignment="1">
      <alignment horizontal="center"/>
    </xf>
    <xf numFmtId="0" fontId="5" fillId="0" borderId="0" xfId="0" applyFont="1" applyFill="1" applyBorder="1" applyAlignment="1">
      <alignment horizontal="center" vertical="top" wrapText="1"/>
    </xf>
    <xf numFmtId="42" fontId="30" fillId="0" borderId="0" xfId="0" applyNumberFormat="1" applyFont="1"/>
    <xf numFmtId="1" fontId="30" fillId="0" borderId="0" xfId="0" applyNumberFormat="1" applyFont="1" applyAlignment="1">
      <alignment horizontal="center"/>
    </xf>
    <xf numFmtId="42" fontId="30" fillId="0" borderId="0" xfId="0" applyNumberFormat="1" applyFont="1" applyFill="1"/>
    <xf numFmtId="167" fontId="30" fillId="0" borderId="0" xfId="0" applyNumberFormat="1" applyFont="1" applyFill="1"/>
    <xf numFmtId="0" fontId="5" fillId="0" borderId="0" xfId="0" applyFont="1" applyFill="1" applyBorder="1" applyAlignment="1">
      <alignment horizontal="right" vertical="top" wrapText="1"/>
    </xf>
    <xf numFmtId="0" fontId="27" fillId="0" borderId="17" xfId="0" applyFont="1" applyBorder="1" applyAlignment="1">
      <alignment vertical="top" wrapText="1"/>
    </xf>
    <xf numFmtId="3" fontId="0" fillId="0" borderId="17" xfId="0" applyNumberFormat="1" applyFill="1" applyBorder="1"/>
    <xf numFmtId="0" fontId="40" fillId="27" borderId="12" xfId="0" applyFont="1" applyFill="1" applyBorder="1" applyAlignment="1">
      <alignment horizontal="right"/>
    </xf>
    <xf numFmtId="0" fontId="40" fillId="27" borderId="10" xfId="0" applyFont="1" applyFill="1" applyBorder="1" applyAlignment="1">
      <alignment horizontal="right"/>
    </xf>
    <xf numFmtId="0" fontId="40" fillId="27" borderId="10" xfId="0" applyFont="1" applyFill="1" applyBorder="1" applyAlignment="1">
      <alignment horizontal="right" wrapText="1"/>
    </xf>
    <xf numFmtId="0" fontId="3" fillId="0" borderId="0" xfId="0" applyNumberFormat="1" applyFont="1" applyFill="1" applyBorder="1" applyAlignment="1" applyProtection="1"/>
    <xf numFmtId="42" fontId="0" fillId="0" borderId="17" xfId="133" applyNumberFormat="1" applyFont="1" applyFill="1" applyBorder="1"/>
    <xf numFmtId="173" fontId="0" fillId="0" borderId="0" xfId="133" applyNumberFormat="1" applyFont="1" applyFill="1" applyBorder="1"/>
    <xf numFmtId="0" fontId="0" fillId="0" borderId="0" xfId="0" applyNumberFormat="1" applyBorder="1"/>
    <xf numFmtId="0" fontId="3" fillId="0" borderId="0" xfId="0" applyFont="1" applyFill="1" applyBorder="1"/>
    <xf numFmtId="0" fontId="32" fillId="0" borderId="0" xfId="0" applyFont="1" applyFill="1"/>
    <xf numFmtId="165" fontId="0" fillId="0" borderId="0" xfId="133" applyNumberFormat="1" applyFont="1" applyFill="1"/>
    <xf numFmtId="0" fontId="0" fillId="0" borderId="0" xfId="0"/>
    <xf numFmtId="0" fontId="0" fillId="0" borderId="17" xfId="0" applyBorder="1"/>
    <xf numFmtId="0" fontId="0" fillId="0" borderId="0" xfId="0" applyFill="1"/>
    <xf numFmtId="165" fontId="0" fillId="0" borderId="0" xfId="0" applyNumberFormat="1"/>
    <xf numFmtId="165" fontId="0" fillId="0" borderId="17" xfId="0" applyNumberFormat="1" applyBorder="1"/>
    <xf numFmtId="0" fontId="0" fillId="0" borderId="0" xfId="0" applyFont="1" applyFill="1" applyBorder="1"/>
    <xf numFmtId="165" fontId="0" fillId="0" borderId="0" xfId="0" applyNumberFormat="1" applyFill="1"/>
    <xf numFmtId="0" fontId="0" fillId="0" borderId="0" xfId="0"/>
    <xf numFmtId="0" fontId="0" fillId="0" borderId="0" xfId="0" applyFill="1"/>
    <xf numFmtId="0" fontId="42" fillId="0" borderId="0" xfId="0" applyFont="1"/>
    <xf numFmtId="0" fontId="3" fillId="0" borderId="0" xfId="0" applyFont="1"/>
    <xf numFmtId="42" fontId="0" fillId="0" borderId="0" xfId="0" applyNumberFormat="1" applyFill="1"/>
    <xf numFmtId="0" fontId="0" fillId="0" borderId="0" xfId="0"/>
    <xf numFmtId="0" fontId="0" fillId="0" borderId="0" xfId="0"/>
    <xf numFmtId="0" fontId="0" fillId="0" borderId="0" xfId="0"/>
    <xf numFmtId="0" fontId="3" fillId="0" borderId="0" xfId="0" applyFont="1"/>
    <xf numFmtId="0" fontId="0" fillId="0" borderId="0" xfId="0"/>
    <xf numFmtId="42" fontId="0" fillId="0" borderId="0" xfId="0" applyNumberFormat="1"/>
    <xf numFmtId="0" fontId="0" fillId="0" borderId="0" xfId="0"/>
    <xf numFmtId="42" fontId="0" fillId="0" borderId="0" xfId="0" applyNumberFormat="1" applyFill="1"/>
    <xf numFmtId="42" fontId="0" fillId="0" borderId="0" xfId="0" applyNumberFormat="1"/>
    <xf numFmtId="0" fontId="3" fillId="0" borderId="0" xfId="0" applyFont="1"/>
    <xf numFmtId="167" fontId="0" fillId="0" borderId="0" xfId="0" applyNumberFormat="1"/>
    <xf numFmtId="0" fontId="0" fillId="0" borderId="0" xfId="0"/>
    <xf numFmtId="42" fontId="0" fillId="0" borderId="0" xfId="0" applyNumberFormat="1" applyFill="1"/>
    <xf numFmtId="42" fontId="0" fillId="0" borderId="0" xfId="0" applyNumberFormat="1"/>
    <xf numFmtId="0" fontId="3" fillId="0" borderId="0" xfId="0" applyFont="1"/>
    <xf numFmtId="167" fontId="0" fillId="0" borderId="0" xfId="0" applyNumberFormat="1"/>
    <xf numFmtId="0" fontId="0" fillId="0" borderId="0" xfId="0"/>
    <xf numFmtId="0" fontId="0" fillId="0" borderId="0" xfId="0" applyFont="1"/>
    <xf numFmtId="0" fontId="0" fillId="0" borderId="0" xfId="0"/>
    <xf numFmtId="0" fontId="0" fillId="0" borderId="0" xfId="0"/>
    <xf numFmtId="9" fontId="29" fillId="0" borderId="0" xfId="0" applyNumberFormat="1" applyFont="1"/>
    <xf numFmtId="165" fontId="29" fillId="0" borderId="0" xfId="0" applyNumberFormat="1" applyFont="1" applyFill="1"/>
    <xf numFmtId="0" fontId="29" fillId="0" borderId="17" xfId="0" applyFont="1" applyBorder="1"/>
    <xf numFmtId="168" fontId="29" fillId="0" borderId="0" xfId="0" applyNumberFormat="1" applyFont="1"/>
    <xf numFmtId="165" fontId="28" fillId="0" borderId="0" xfId="0" applyNumberFormat="1" applyFont="1" applyFill="1" applyBorder="1"/>
    <xf numFmtId="170" fontId="28" fillId="0" borderId="0" xfId="0" applyNumberFormat="1" applyFont="1" applyFill="1" applyBorder="1" applyAlignment="1">
      <alignment horizontal="right"/>
    </xf>
    <xf numFmtId="165" fontId="29" fillId="0" borderId="17" xfId="0" applyNumberFormat="1" applyFont="1" applyBorder="1"/>
    <xf numFmtId="0" fontId="24" fillId="0" borderId="0" xfId="0" applyFont="1" applyFill="1" applyBorder="1" applyAlignment="1">
      <alignment horizontal="right"/>
    </xf>
    <xf numFmtId="1" fontId="29" fillId="0" borderId="0" xfId="0" applyNumberFormat="1" applyFont="1" applyBorder="1"/>
    <xf numFmtId="3" fontId="4" fillId="0" borderId="0" xfId="0" applyNumberFormat="1" applyFont="1" applyFill="1" applyBorder="1" applyAlignment="1">
      <alignment horizontal="right"/>
    </xf>
    <xf numFmtId="0" fontId="29" fillId="0" borderId="0" xfId="0" applyFont="1" applyAlignment="1">
      <alignment horizontal="right"/>
    </xf>
    <xf numFmtId="167" fontId="28" fillId="0" borderId="0" xfId="0" applyNumberFormat="1" applyFont="1" applyFill="1" applyBorder="1" applyAlignment="1">
      <alignment horizontal="right"/>
    </xf>
    <xf numFmtId="0" fontId="28" fillId="0" borderId="0" xfId="0" applyFont="1" applyFill="1" applyBorder="1" applyAlignment="1">
      <alignment horizontal="right"/>
    </xf>
    <xf numFmtId="0" fontId="22" fillId="0" borderId="0" xfId="0" applyFont="1"/>
    <xf numFmtId="3" fontId="40" fillId="0" borderId="0" xfId="0" applyNumberFormat="1" applyFont="1" applyFill="1" applyBorder="1"/>
    <xf numFmtId="0" fontId="29" fillId="0" borderId="0" xfId="0" applyFont="1" applyAlignment="1">
      <alignment horizontal="left"/>
    </xf>
    <xf numFmtId="0" fontId="40" fillId="0" borderId="0" xfId="0" applyFont="1" applyFill="1" applyBorder="1"/>
    <xf numFmtId="166" fontId="4" fillId="0" borderId="0" xfId="3" applyNumberFormat="1" applyFill="1" applyBorder="1"/>
    <xf numFmtId="0" fontId="0" fillId="0" borderId="0" xfId="0" applyFill="1" applyBorder="1" applyAlignment="1"/>
    <xf numFmtId="165" fontId="29" fillId="0" borderId="0" xfId="0" applyNumberFormat="1" applyFont="1" applyBorder="1"/>
    <xf numFmtId="166" fontId="4" fillId="0" borderId="0" xfId="3" applyNumberFormat="1" applyFont="1" applyFill="1" applyBorder="1"/>
    <xf numFmtId="0" fontId="29" fillId="0" borderId="0" xfId="0" applyFont="1" applyBorder="1"/>
    <xf numFmtId="0" fontId="29" fillId="0" borderId="0" xfId="0" applyFont="1" applyFill="1"/>
    <xf numFmtId="168" fontId="29" fillId="0" borderId="0" xfId="0" applyNumberFormat="1" applyFont="1" applyAlignment="1">
      <alignment horizontal="right"/>
    </xf>
    <xf numFmtId="165" fontId="29" fillId="0" borderId="0" xfId="0" applyNumberFormat="1" applyFont="1"/>
    <xf numFmtId="42" fontId="3" fillId="0" borderId="0" xfId="0" applyNumberFormat="1" applyFont="1" applyFill="1"/>
    <xf numFmtId="169" fontId="0" fillId="0" borderId="0" xfId="0" applyNumberFormat="1"/>
    <xf numFmtId="42" fontId="0" fillId="0" borderId="0" xfId="0" applyNumberFormat="1" applyFont="1" applyFill="1"/>
    <xf numFmtId="42" fontId="22" fillId="0" borderId="0" xfId="0" applyNumberFormat="1" applyFont="1" applyFill="1"/>
    <xf numFmtId="42" fontId="3" fillId="0" borderId="0" xfId="0" applyNumberFormat="1" applyFont="1"/>
    <xf numFmtId="169" fontId="3" fillId="0" borderId="0" xfId="0" applyNumberFormat="1" applyFont="1" applyFill="1"/>
    <xf numFmtId="0" fontId="4" fillId="25" borderId="11" xfId="3" applyFill="1" applyBorder="1"/>
    <xf numFmtId="0" fontId="4" fillId="0" borderId="0" xfId="3" applyBorder="1"/>
    <xf numFmtId="0" fontId="4" fillId="0" borderId="0" xfId="3"/>
    <xf numFmtId="0" fontId="4" fillId="0" borderId="0" xfId="3" applyBorder="1" applyAlignment="1">
      <alignment horizontal="left"/>
    </xf>
    <xf numFmtId="0" fontId="4" fillId="0" borderId="0" xfId="3" applyFill="1" applyBorder="1" applyAlignment="1">
      <alignment horizontal="left"/>
    </xf>
    <xf numFmtId="0" fontId="35" fillId="0" borderId="0" xfId="3" applyFont="1" applyBorder="1"/>
    <xf numFmtId="0" fontId="4" fillId="0" borderId="0" xfId="3" applyFill="1" applyBorder="1"/>
    <xf numFmtId="3" fontId="4" fillId="0" borderId="0" xfId="3" applyNumberFormat="1" applyBorder="1"/>
    <xf numFmtId="165" fontId="3" fillId="0" borderId="17" xfId="0" applyNumberFormat="1" applyFont="1" applyBorder="1"/>
    <xf numFmtId="0" fontId="37" fillId="0" borderId="0" xfId="3" applyFont="1" applyBorder="1"/>
    <xf numFmtId="0" fontId="36" fillId="0" borderId="0" xfId="3" applyFont="1" applyBorder="1"/>
    <xf numFmtId="0" fontId="37" fillId="0" borderId="0" xfId="3" applyFont="1" applyFill="1" applyBorder="1"/>
    <xf numFmtId="0" fontId="0" fillId="0" borderId="0" xfId="0" applyFill="1" applyBorder="1" applyAlignment="1">
      <alignment horizontal="right"/>
    </xf>
    <xf numFmtId="169" fontId="0" fillId="0" borderId="0" xfId="133" applyNumberFormat="1" applyFont="1" applyFill="1" applyBorder="1"/>
    <xf numFmtId="0" fontId="40" fillId="0" borderId="0" xfId="0" applyFont="1" applyFill="1" applyBorder="1" applyAlignment="1">
      <alignment horizontal="center"/>
    </xf>
    <xf numFmtId="3" fontId="5" fillId="0" borderId="0" xfId="0" applyNumberFormat="1" applyFont="1" applyFill="1" applyBorder="1" applyAlignment="1">
      <alignment vertical="top" wrapText="1"/>
    </xf>
    <xf numFmtId="0" fontId="24" fillId="0" borderId="0" xfId="0" applyFont="1" applyFill="1" applyBorder="1"/>
    <xf numFmtId="0" fontId="4" fillId="0" borderId="0" xfId="0" applyFont="1" applyFill="1" applyBorder="1" applyAlignment="1">
      <alignment horizontal="right"/>
    </xf>
    <xf numFmtId="0" fontId="44" fillId="0" borderId="0" xfId="0" applyFont="1" applyBorder="1"/>
    <xf numFmtId="168" fontId="29" fillId="0" borderId="0" xfId="0" applyNumberFormat="1" applyFont="1" applyBorder="1"/>
    <xf numFmtId="0" fontId="29" fillId="0" borderId="0" xfId="0" applyFont="1"/>
    <xf numFmtId="0" fontId="29" fillId="0" borderId="0" xfId="0" applyFont="1"/>
    <xf numFmtId="9" fontId="28" fillId="0" borderId="0" xfId="0" applyNumberFormat="1" applyFont="1" applyFill="1" applyBorder="1"/>
    <xf numFmtId="166" fontId="4" fillId="0" borderId="0" xfId="3" applyNumberFormat="1" applyFont="1" applyFill="1" applyBorder="1" applyAlignment="1">
      <alignment horizontal="right"/>
    </xf>
    <xf numFmtId="9" fontId="4" fillId="0" borderId="0" xfId="3" applyNumberFormat="1" applyFill="1" applyBorder="1"/>
    <xf numFmtId="3" fontId="40" fillId="0" borderId="0" xfId="0" applyNumberFormat="1" applyFont="1" applyFill="1" applyBorder="1" applyAlignment="1">
      <alignment horizontal="right"/>
    </xf>
    <xf numFmtId="10" fontId="4" fillId="0" borderId="0" xfId="3" applyNumberFormat="1" applyFill="1" applyBorder="1"/>
    <xf numFmtId="0" fontId="0" fillId="0" borderId="0" xfId="0"/>
    <xf numFmtId="42" fontId="0" fillId="0" borderId="0" xfId="0" applyNumberFormat="1" applyFill="1"/>
    <xf numFmtId="42" fontId="0" fillId="0" borderId="0" xfId="0" applyNumberFormat="1"/>
    <xf numFmtId="0" fontId="29" fillId="0" borderId="0" xfId="0" applyFont="1"/>
    <xf numFmtId="0" fontId="0" fillId="0" borderId="0" xfId="0" applyFill="1"/>
    <xf numFmtId="0" fontId="3" fillId="0" borderId="0" xfId="0" applyFont="1"/>
    <xf numFmtId="9" fontId="0" fillId="0" borderId="0" xfId="0" applyNumberFormat="1"/>
    <xf numFmtId="0" fontId="0" fillId="0" borderId="0" xfId="0" applyBorder="1"/>
    <xf numFmtId="0" fontId="0" fillId="0" borderId="0" xfId="0" applyFont="1" applyBorder="1"/>
    <xf numFmtId="0" fontId="0" fillId="0" borderId="0" xfId="0" applyFont="1" applyFill="1" applyBorder="1"/>
    <xf numFmtId="0" fontId="0" fillId="0" borderId="0" xfId="0" applyFont="1" applyBorder="1" applyAlignment="1">
      <alignment horizontal="left"/>
    </xf>
    <xf numFmtId="0" fontId="27" fillId="0" borderId="0" xfId="0" applyFont="1" applyBorder="1" applyAlignment="1">
      <alignment vertical="top" wrapText="1"/>
    </xf>
    <xf numFmtId="0" fontId="27" fillId="0" borderId="0" xfId="0" applyFont="1" applyBorder="1" applyAlignment="1">
      <alignment vertical="top"/>
    </xf>
    <xf numFmtId="1" fontId="40" fillId="0" borderId="0" xfId="0" applyNumberFormat="1" applyFont="1" applyFill="1" applyBorder="1"/>
    <xf numFmtId="167" fontId="28" fillId="0" borderId="0" xfId="0" applyNumberFormat="1" applyFont="1" applyFill="1" applyBorder="1"/>
    <xf numFmtId="170" fontId="28" fillId="0" borderId="0" xfId="0" applyNumberFormat="1" applyFont="1" applyFill="1" applyBorder="1"/>
    <xf numFmtId="0" fontId="3" fillId="0" borderId="0" xfId="0" applyFont="1" applyFill="1" applyBorder="1" applyAlignment="1">
      <alignment horizontal="right" wrapText="1"/>
    </xf>
    <xf numFmtId="0" fontId="0" fillId="0" borderId="0" xfId="0"/>
    <xf numFmtId="0" fontId="0" fillId="0" borderId="0" xfId="0" applyAlignment="1">
      <alignment horizontal="left"/>
    </xf>
    <xf numFmtId="0" fontId="3" fillId="0" borderId="0" xfId="0" applyFont="1"/>
    <xf numFmtId="0" fontId="0" fillId="0" borderId="0" xfId="0" applyFill="1" applyBorder="1"/>
    <xf numFmtId="0" fontId="0" fillId="0" borderId="0" xfId="0"/>
    <xf numFmtId="166" fontId="0" fillId="0" borderId="0" xfId="0" applyNumberFormat="1"/>
    <xf numFmtId="168" fontId="0" fillId="0" borderId="0" xfId="0" applyNumberFormat="1"/>
    <xf numFmtId="0" fontId="0" fillId="0" borderId="0" xfId="0" applyAlignment="1">
      <alignment horizontal="right"/>
    </xf>
    <xf numFmtId="165" fontId="0" fillId="0" borderId="0" xfId="0" applyNumberFormat="1" applyFill="1"/>
    <xf numFmtId="42" fontId="0" fillId="0" borderId="0" xfId="0" applyNumberFormat="1"/>
    <xf numFmtId="0" fontId="4" fillId="0" borderId="0" xfId="3"/>
    <xf numFmtId="0" fontId="4" fillId="26" borderId="12" xfId="3" applyFill="1" applyBorder="1"/>
    <xf numFmtId="0" fontId="40" fillId="0" borderId="0" xfId="0" applyFont="1" applyFill="1" applyBorder="1" applyAlignment="1">
      <alignment horizontal="right"/>
    </xf>
    <xf numFmtId="0" fontId="4" fillId="0" borderId="0" xfId="3" applyFill="1" applyBorder="1"/>
    <xf numFmtId="0" fontId="0" fillId="0" borderId="0" xfId="0" applyFill="1" applyBorder="1"/>
    <xf numFmtId="0" fontId="28" fillId="0" borderId="0" xfId="0" applyFont="1" applyFill="1" applyBorder="1"/>
    <xf numFmtId="168" fontId="0" fillId="0" borderId="0" xfId="0" applyNumberFormat="1" applyFill="1" applyBorder="1"/>
    <xf numFmtId="0" fontId="0" fillId="0" borderId="0" xfId="0"/>
    <xf numFmtId="0" fontId="3" fillId="0" borderId="0" xfId="0" applyFont="1"/>
    <xf numFmtId="169" fontId="0" fillId="0" borderId="0" xfId="0" applyNumberFormat="1"/>
    <xf numFmtId="169" fontId="0" fillId="0" borderId="0" xfId="133" applyNumberFormat="1" applyFont="1"/>
    <xf numFmtId="0" fontId="0" fillId="0" borderId="0" xfId="0" applyFont="1" applyFill="1" applyBorder="1"/>
    <xf numFmtId="0" fontId="0" fillId="0" borderId="0" xfId="0" applyFill="1"/>
    <xf numFmtId="165" fontId="0" fillId="0" borderId="0" xfId="0" applyNumberFormat="1"/>
    <xf numFmtId="0" fontId="0" fillId="0" borderId="0" xfId="0"/>
    <xf numFmtId="0" fontId="0" fillId="0" borderId="0" xfId="0" applyFont="1"/>
    <xf numFmtId="0" fontId="0" fillId="0" borderId="0" xfId="0" applyFont="1" applyBorder="1"/>
    <xf numFmtId="0" fontId="0" fillId="0" borderId="0" xfId="0" applyAlignment="1">
      <alignment horizontal="right"/>
    </xf>
    <xf numFmtId="42" fontId="0" fillId="0" borderId="0" xfId="0" applyNumberFormat="1"/>
    <xf numFmtId="0" fontId="29" fillId="0" borderId="0" xfId="0" applyFont="1"/>
    <xf numFmtId="0" fontId="0" fillId="0" borderId="0" xfId="0" applyFill="1" applyAlignment="1">
      <alignment horizontal="left"/>
    </xf>
    <xf numFmtId="165" fontId="29" fillId="0" borderId="0" xfId="0" applyNumberFormat="1" applyFont="1" applyFill="1" applyBorder="1"/>
    <xf numFmtId="176" fontId="4" fillId="0" borderId="0" xfId="3" applyNumberFormat="1"/>
    <xf numFmtId="167" fontId="4" fillId="0" borderId="13" xfId="3" applyNumberFormat="1" applyBorder="1"/>
    <xf numFmtId="2" fontId="0" fillId="0" borderId="0" xfId="0" applyNumberFormat="1" applyFill="1" applyBorder="1" applyAlignment="1" applyProtection="1"/>
    <xf numFmtId="0" fontId="44" fillId="0" borderId="0" xfId="0" applyFont="1" applyFill="1" applyBorder="1" applyAlignment="1">
      <alignment horizontal="center"/>
    </xf>
    <xf numFmtId="41" fontId="28" fillId="0" borderId="0" xfId="0" applyNumberFormat="1" applyFont="1" applyBorder="1"/>
    <xf numFmtId="0" fontId="0" fillId="0" borderId="0" xfId="0" applyNumberFormat="1" applyFill="1" applyBorder="1" applyAlignment="1" applyProtection="1">
      <alignment horizontal="center"/>
    </xf>
    <xf numFmtId="3" fontId="3" fillId="0" borderId="0" xfId="0" applyNumberFormat="1" applyFont="1" applyFill="1" applyBorder="1"/>
    <xf numFmtId="42" fontId="3" fillId="0" borderId="17" xfId="0" applyNumberFormat="1" applyFont="1" applyFill="1" applyBorder="1"/>
    <xf numFmtId="3" fontId="23" fillId="0" borderId="0" xfId="0" applyNumberFormat="1" applyFont="1" applyFill="1" applyBorder="1" applyAlignment="1" applyProtection="1">
      <alignment horizontal="right"/>
    </xf>
    <xf numFmtId="3" fontId="23" fillId="0" borderId="0" xfId="133" applyNumberFormat="1" applyFont="1" applyFill="1" applyBorder="1" applyAlignment="1" applyProtection="1">
      <alignment horizontal="right"/>
    </xf>
    <xf numFmtId="0" fontId="45" fillId="0" borderId="0" xfId="0" applyFont="1" applyFill="1" applyBorder="1"/>
    <xf numFmtId="3" fontId="43" fillId="0" borderId="0" xfId="0" applyNumberFormat="1" applyFont="1" applyFill="1" applyBorder="1" applyAlignment="1">
      <alignment horizontal="center"/>
    </xf>
    <xf numFmtId="0" fontId="44" fillId="0" borderId="0" xfId="0" applyFont="1" applyFill="1" applyBorder="1"/>
    <xf numFmtId="0" fontId="29" fillId="0" borderId="0" xfId="0" applyFont="1" applyFill="1" applyBorder="1"/>
    <xf numFmtId="41" fontId="0" fillId="0" borderId="0" xfId="0" applyNumberFormat="1" applyBorder="1"/>
    <xf numFmtId="44" fontId="0" fillId="0" borderId="0" xfId="0" applyNumberFormat="1" applyBorder="1"/>
    <xf numFmtId="0" fontId="22" fillId="0" borderId="0" xfId="0" applyFont="1" applyFill="1"/>
    <xf numFmtId="0" fontId="0" fillId="0" borderId="0" xfId="0"/>
    <xf numFmtId="0" fontId="0" fillId="0" borderId="0" xfId="0" applyBorder="1"/>
    <xf numFmtId="0" fontId="3" fillId="0" borderId="0" xfId="0" applyFont="1"/>
    <xf numFmtId="1" fontId="0" fillId="0" borderId="0" xfId="0" applyNumberFormat="1" applyAlignment="1">
      <alignment horizontal="center"/>
    </xf>
    <xf numFmtId="0" fontId="4" fillId="0" borderId="0" xfId="3"/>
    <xf numFmtId="0" fontId="4" fillId="0" borderId="0" xfId="3" applyBorder="1"/>
    <xf numFmtId="0" fontId="36" fillId="0" borderId="0" xfId="3" applyFont="1" applyBorder="1"/>
    <xf numFmtId="0" fontId="4" fillId="0" borderId="0" xfId="3" applyFill="1" applyBorder="1" applyAlignment="1">
      <alignment horizontal="left"/>
    </xf>
    <xf numFmtId="0" fontId="4" fillId="0" borderId="0" xfId="3" applyBorder="1" applyAlignment="1">
      <alignment horizontal="left"/>
    </xf>
    <xf numFmtId="165" fontId="0" fillId="0" borderId="0" xfId="0" applyNumberFormat="1" applyBorder="1"/>
    <xf numFmtId="0" fontId="0" fillId="0" borderId="0" xfId="0" applyFill="1"/>
    <xf numFmtId="3" fontId="0" fillId="0" borderId="0" xfId="0" applyNumberFormat="1"/>
    <xf numFmtId="0" fontId="4" fillId="0" borderId="0" xfId="3"/>
    <xf numFmtId="0" fontId="4" fillId="0" borderId="0" xfId="3" applyBorder="1"/>
    <xf numFmtId="0" fontId="4" fillId="0" borderId="0" xfId="3" applyFill="1" applyBorder="1"/>
    <xf numFmtId="0" fontId="37" fillId="0" borderId="0" xfId="3" applyFont="1" applyBorder="1"/>
    <xf numFmtId="0" fontId="37" fillId="0" borderId="0" xfId="3" applyFont="1" applyFill="1" applyBorder="1"/>
    <xf numFmtId="0" fontId="4" fillId="25" borderId="11" xfId="3" applyFill="1" applyBorder="1"/>
    <xf numFmtId="10" fontId="4" fillId="0" borderId="0" xfId="3" applyNumberFormat="1" applyFill="1" applyBorder="1"/>
    <xf numFmtId="9" fontId="4" fillId="0" borderId="0" xfId="3" applyNumberFormat="1" applyFill="1" applyBorder="1"/>
    <xf numFmtId="166" fontId="4" fillId="0" borderId="0" xfId="3" applyNumberFormat="1" applyFill="1" applyBorder="1"/>
    <xf numFmtId="3" fontId="4" fillId="0" borderId="0" xfId="3" applyNumberFormat="1" applyBorder="1"/>
    <xf numFmtId="0" fontId="4" fillId="0" borderId="0" xfId="3"/>
    <xf numFmtId="0" fontId="4" fillId="0" borderId="0" xfId="3" applyBorder="1"/>
    <xf numFmtId="0" fontId="4" fillId="0" borderId="0" xfId="3" applyFill="1" applyBorder="1"/>
    <xf numFmtId="0" fontId="36" fillId="0" borderId="0" xfId="3" applyFont="1" applyBorder="1"/>
    <xf numFmtId="0" fontId="23" fillId="0" borderId="0" xfId="0" applyNumberFormat="1" applyFont="1" applyFill="1" applyBorder="1" applyAlignment="1" applyProtection="1"/>
    <xf numFmtId="44" fontId="0" fillId="0" borderId="0" xfId="133" applyFont="1" applyFill="1" applyBorder="1" applyProtection="1"/>
    <xf numFmtId="2" fontId="0" fillId="0" borderId="0" xfId="0" applyNumberFormat="1" applyFill="1" applyBorder="1" applyAlignment="1" applyProtection="1">
      <protection locked="0"/>
    </xf>
    <xf numFmtId="3" fontId="0" fillId="0" borderId="0" xfId="133" applyNumberFormat="1" applyFont="1" applyFill="1" applyBorder="1" applyAlignment="1" applyProtection="1">
      <alignment horizontal="right"/>
    </xf>
    <xf numFmtId="0" fontId="0" fillId="0" borderId="0" xfId="0" applyNumberFormat="1" applyFill="1" applyBorder="1" applyAlignment="1" applyProtection="1">
      <alignment horizontal="center"/>
      <protection locked="0"/>
    </xf>
    <xf numFmtId="0" fontId="0" fillId="0" borderId="0" xfId="0" applyNumberFormat="1" applyFill="1" applyBorder="1" applyAlignment="1" applyProtection="1"/>
    <xf numFmtId="0" fontId="26" fillId="0" borderId="0" xfId="0" applyNumberFormat="1" applyFont="1" applyFill="1" applyBorder="1" applyAlignment="1" applyProtection="1">
      <alignment horizontal="right"/>
    </xf>
    <xf numFmtId="1" fontId="0" fillId="0" borderId="0" xfId="0" applyNumberFormat="1"/>
    <xf numFmtId="0" fontId="0" fillId="0" borderId="0" xfId="0" applyFill="1" applyBorder="1"/>
    <xf numFmtId="0" fontId="3" fillId="0" borderId="0" xfId="0" applyFont="1" applyFill="1" applyBorder="1"/>
    <xf numFmtId="42" fontId="0" fillId="0" borderId="0" xfId="0" applyNumberFormat="1" applyFill="1" applyBorder="1"/>
    <xf numFmtId="44" fontId="0" fillId="0" borderId="0" xfId="0" applyNumberFormat="1" applyFill="1" applyBorder="1"/>
    <xf numFmtId="165" fontId="0" fillId="0" borderId="0" xfId="0" applyNumberFormat="1"/>
    <xf numFmtId="0" fontId="27" fillId="0" borderId="0" xfId="0" applyFont="1" applyFill="1" applyBorder="1" applyAlignment="1">
      <alignment vertical="top"/>
    </xf>
    <xf numFmtId="0" fontId="28" fillId="0" borderId="0" xfId="0" applyFont="1" applyBorder="1" applyAlignment="1">
      <alignment horizontal="center"/>
    </xf>
    <xf numFmtId="0" fontId="0" fillId="0" borderId="0" xfId="0" applyBorder="1" applyAlignment="1">
      <alignment horizontal="center"/>
    </xf>
    <xf numFmtId="0" fontId="4" fillId="0" borderId="0" xfId="3" applyBorder="1"/>
    <xf numFmtId="0" fontId="35" fillId="0" borderId="0" xfId="3" applyFont="1"/>
    <xf numFmtId="0" fontId="4" fillId="0" borderId="11" xfId="3" applyBorder="1"/>
    <xf numFmtId="0" fontId="4" fillId="0" borderId="0" xfId="3" applyFill="1" applyBorder="1" applyAlignment="1">
      <alignment horizontal="left"/>
    </xf>
    <xf numFmtId="0" fontId="4" fillId="0" borderId="0" xfId="3" applyFont="1" applyFill="1" applyBorder="1"/>
    <xf numFmtId="0" fontId="4" fillId="0" borderId="0" xfId="3" applyFill="1" applyBorder="1"/>
    <xf numFmtId="0" fontId="38" fillId="0" borderId="0" xfId="3" applyFont="1" applyBorder="1"/>
    <xf numFmtId="0" fontId="23" fillId="0" borderId="0" xfId="3" applyFont="1" applyFill="1"/>
    <xf numFmtId="0" fontId="4" fillId="0" borderId="0" xfId="3" applyFill="1"/>
    <xf numFmtId="165" fontId="4" fillId="0" borderId="0" xfId="3" applyNumberFormat="1" applyBorder="1"/>
    <xf numFmtId="0" fontId="31" fillId="0" borderId="0" xfId="3" applyFont="1" applyFill="1" applyBorder="1"/>
    <xf numFmtId="1" fontId="4" fillId="0" borderId="0" xfId="3" applyNumberFormat="1"/>
    <xf numFmtId="166" fontId="4" fillId="0" borderId="0" xfId="3" applyNumberFormat="1" applyFill="1" applyBorder="1"/>
    <xf numFmtId="0" fontId="0" fillId="0" borderId="0" xfId="0" applyFill="1" applyBorder="1"/>
    <xf numFmtId="165" fontId="0" fillId="0" borderId="0" xfId="0" applyNumberFormat="1" applyFill="1" applyBorder="1"/>
    <xf numFmtId="42" fontId="0" fillId="0" borderId="0" xfId="0" applyNumberFormat="1" applyFill="1" applyBorder="1"/>
    <xf numFmtId="172" fontId="4" fillId="0" borderId="0" xfId="3" applyNumberFormat="1" applyFill="1" applyBorder="1"/>
    <xf numFmtId="9" fontId="4" fillId="26" borderId="12" xfId="3" applyNumberFormat="1" applyFill="1" applyBorder="1"/>
    <xf numFmtId="0" fontId="0" fillId="0" borderId="0" xfId="0"/>
    <xf numFmtId="0" fontId="0" fillId="0" borderId="0" xfId="0" applyBorder="1"/>
    <xf numFmtId="0" fontId="0" fillId="0" borderId="0" xfId="0" applyFill="1"/>
    <xf numFmtId="0" fontId="0" fillId="0" borderId="0" xfId="0" applyFill="1" applyBorder="1"/>
    <xf numFmtId="0" fontId="0" fillId="0" borderId="0" xfId="0" applyFont="1" applyBorder="1"/>
    <xf numFmtId="0" fontId="28" fillId="0" borderId="0" xfId="0" applyFont="1" applyBorder="1"/>
    <xf numFmtId="1" fontId="4" fillId="26" borderId="12" xfId="55" applyNumberFormat="1" applyFont="1" applyFill="1" applyBorder="1"/>
    <xf numFmtId="42" fontId="3" fillId="0" borderId="17" xfId="0" applyNumberFormat="1" applyFont="1" applyBorder="1"/>
    <xf numFmtId="1" fontId="4" fillId="0" borderId="12" xfId="55" applyNumberFormat="1" applyFont="1" applyFill="1" applyBorder="1"/>
    <xf numFmtId="0" fontId="35" fillId="0" borderId="0" xfId="3" applyFont="1" applyFill="1" applyBorder="1"/>
    <xf numFmtId="0" fontId="35" fillId="0" borderId="0" xfId="3" applyFont="1" applyFill="1"/>
    <xf numFmtId="2" fontId="23" fillId="0" borderId="0" xfId="55" applyNumberFormat="1" applyFont="1"/>
    <xf numFmtId="0" fontId="4" fillId="0" borderId="0" xfId="3" applyFill="1" applyBorder="1" applyAlignment="1">
      <alignment horizontal="right"/>
    </xf>
    <xf numFmtId="0" fontId="4" fillId="0" borderId="0" xfId="3"/>
    <xf numFmtId="0" fontId="4" fillId="0" borderId="0" xfId="3" applyBorder="1"/>
    <xf numFmtId="0" fontId="4" fillId="0" borderId="0" xfId="3" applyFill="1" applyBorder="1"/>
    <xf numFmtId="0" fontId="4" fillId="0" borderId="11" xfId="3" applyBorder="1"/>
    <xf numFmtId="167" fontId="4" fillId="0" borderId="0" xfId="3" applyNumberFormat="1" applyBorder="1"/>
    <xf numFmtId="167" fontId="4" fillId="0" borderId="0" xfId="55" applyNumberFormat="1" applyFill="1" applyBorder="1"/>
    <xf numFmtId="0" fontId="4" fillId="0" borderId="0" xfId="55" applyFont="1" applyBorder="1"/>
    <xf numFmtId="0" fontId="23" fillId="0" borderId="0" xfId="55" applyNumberFormat="1" applyFont="1"/>
    <xf numFmtId="0" fontId="4" fillId="0" borderId="12" xfId="3" applyBorder="1"/>
    <xf numFmtId="167" fontId="4" fillId="0" borderId="21" xfId="3" applyNumberFormat="1" applyBorder="1"/>
    <xf numFmtId="1" fontId="4" fillId="0" borderId="0" xfId="55" applyNumberFormat="1" applyFont="1" applyFill="1" applyBorder="1"/>
    <xf numFmtId="0" fontId="4" fillId="0" borderId="0" xfId="3"/>
    <xf numFmtId="0" fontId="4" fillId="0" borderId="0" xfId="3" applyBorder="1"/>
    <xf numFmtId="0" fontId="4" fillId="0" borderId="0" xfId="3" applyFont="1" applyBorder="1"/>
    <xf numFmtId="0" fontId="23" fillId="0" borderId="0" xfId="3" applyFont="1" applyBorder="1"/>
    <xf numFmtId="0" fontId="4" fillId="0" borderId="0" xfId="3" applyFill="1" applyBorder="1"/>
    <xf numFmtId="0" fontId="4" fillId="0" borderId="0" xfId="3" applyFont="1"/>
    <xf numFmtId="0" fontId="4" fillId="0" borderId="11" xfId="3" applyBorder="1"/>
    <xf numFmtId="0" fontId="4" fillId="0" borderId="11" xfId="3" applyFont="1" applyBorder="1"/>
    <xf numFmtId="2" fontId="4" fillId="0" borderId="0" xfId="3" applyNumberFormat="1" applyBorder="1"/>
    <xf numFmtId="0" fontId="4" fillId="0" borderId="11" xfId="3" applyFill="1" applyBorder="1"/>
    <xf numFmtId="0" fontId="4" fillId="0" borderId="0" xfId="3" applyBorder="1" applyAlignment="1">
      <alignment horizontal="left"/>
    </xf>
    <xf numFmtId="167" fontId="4" fillId="0" borderId="0" xfId="3" applyNumberFormat="1" applyBorder="1"/>
    <xf numFmtId="0" fontId="37" fillId="0" borderId="0" xfId="3" applyFont="1" applyFill="1" applyBorder="1"/>
    <xf numFmtId="167" fontId="4" fillId="0" borderId="0" xfId="55" applyNumberFormat="1" applyFill="1" applyBorder="1"/>
    <xf numFmtId="0" fontId="4" fillId="0" borderId="0" xfId="55" applyFont="1" applyBorder="1"/>
    <xf numFmtId="0" fontId="23" fillId="0" borderId="0" xfId="55" applyNumberFormat="1" applyFont="1"/>
    <xf numFmtId="167" fontId="4" fillId="0" borderId="12" xfId="55" applyNumberFormat="1" applyFill="1" applyBorder="1"/>
    <xf numFmtId="0" fontId="4" fillId="0" borderId="12" xfId="3" applyBorder="1"/>
    <xf numFmtId="167" fontId="4" fillId="0" borderId="12" xfId="3" applyNumberFormat="1" applyBorder="1"/>
    <xf numFmtId="0" fontId="0" fillId="0" borderId="0" xfId="0" applyAlignment="1">
      <alignment horizontal="center"/>
    </xf>
    <xf numFmtId="1" fontId="0" fillId="0" borderId="0" xfId="0" applyNumberFormat="1" applyAlignment="1">
      <alignment horizontal="right"/>
    </xf>
    <xf numFmtId="3" fontId="0" fillId="0" borderId="0" xfId="0" applyNumberFormat="1" applyAlignment="1">
      <alignment horizontal="right"/>
    </xf>
    <xf numFmtId="177" fontId="0" fillId="0" borderId="0" xfId="133" applyNumberFormat="1" applyFont="1"/>
    <xf numFmtId="169" fontId="0" fillId="0" borderId="0" xfId="133" applyNumberFormat="1" applyFont="1" applyAlignment="1">
      <alignment horizontal="right"/>
    </xf>
    <xf numFmtId="169" fontId="0" fillId="0" borderId="0" xfId="133" applyNumberFormat="1" applyFont="1" applyAlignment="1">
      <alignment horizontal="center"/>
    </xf>
    <xf numFmtId="42" fontId="0" fillId="0" borderId="17" xfId="0" applyNumberFormat="1" applyFill="1" applyBorder="1"/>
    <xf numFmtId="0" fontId="0" fillId="0" borderId="0" xfId="0" applyBorder="1" applyAlignment="1" applyProtection="1">
      <alignment horizontal="left" vertical="center"/>
      <protection locked="0"/>
    </xf>
    <xf numFmtId="0" fontId="0" fillId="0" borderId="0" xfId="0" applyBorder="1" applyProtection="1">
      <protection locked="0"/>
    </xf>
    <xf numFmtId="0" fontId="0" fillId="24" borderId="0" xfId="0" applyFill="1" applyBorder="1" applyProtection="1">
      <protection locked="0"/>
    </xf>
    <xf numFmtId="169" fontId="0" fillId="0" borderId="0" xfId="0" applyNumberFormat="1" applyFill="1"/>
    <xf numFmtId="169" fontId="0" fillId="0" borderId="17" xfId="0" applyNumberFormat="1" applyFill="1" applyBorder="1"/>
    <xf numFmtId="1" fontId="29" fillId="0" borderId="0" xfId="0" applyNumberFormat="1" applyFont="1" applyAlignment="1">
      <alignment horizontal="right"/>
    </xf>
    <xf numFmtId="169" fontId="29" fillId="0" borderId="0" xfId="133" applyNumberFormat="1" applyFont="1" applyAlignment="1">
      <alignment horizontal="right"/>
    </xf>
    <xf numFmtId="0" fontId="46" fillId="0" borderId="0" xfId="0" applyFont="1"/>
    <xf numFmtId="165" fontId="0" fillId="0" borderId="17" xfId="0" applyNumberFormat="1" applyFill="1" applyBorder="1"/>
    <xf numFmtId="168" fontId="29" fillId="0" borderId="0" xfId="0" applyNumberFormat="1" applyFont="1" applyBorder="1" applyAlignment="1">
      <alignment horizontal="right"/>
    </xf>
    <xf numFmtId="0" fontId="29" fillId="0" borderId="0" xfId="0" applyFont="1" applyFill="1" applyAlignment="1">
      <alignment horizontal="right"/>
    </xf>
    <xf numFmtId="0" fontId="29" fillId="0" borderId="0" xfId="0" applyFont="1" applyAlignment="1">
      <alignment horizontal="center"/>
    </xf>
    <xf numFmtId="168" fontId="29" fillId="0" borderId="0" xfId="0" applyNumberFormat="1" applyFont="1" applyAlignment="1">
      <alignment horizontal="center"/>
    </xf>
    <xf numFmtId="0" fontId="29" fillId="0" borderId="0" xfId="0" applyFont="1" applyFill="1" applyAlignment="1">
      <alignment horizontal="center"/>
    </xf>
    <xf numFmtId="4" fontId="29" fillId="0" borderId="0" xfId="0" applyNumberFormat="1" applyFont="1" applyAlignment="1">
      <alignment horizontal="right"/>
    </xf>
    <xf numFmtId="169" fontId="29" fillId="0" borderId="0" xfId="133" applyNumberFormat="1" applyFont="1"/>
    <xf numFmtId="175" fontId="29" fillId="0" borderId="0" xfId="133" applyNumberFormat="1" applyFont="1" applyFill="1" applyBorder="1"/>
    <xf numFmtId="167" fontId="29" fillId="0" borderId="0" xfId="0" applyNumberFormat="1" applyFont="1"/>
    <xf numFmtId="0" fontId="29" fillId="0" borderId="17" xfId="0" applyFont="1" applyFill="1" applyBorder="1"/>
    <xf numFmtId="169" fontId="29" fillId="0" borderId="17" xfId="133" applyNumberFormat="1" applyFont="1" applyFill="1" applyBorder="1"/>
    <xf numFmtId="37" fontId="29" fillId="0" borderId="17" xfId="133" applyNumberFormat="1" applyFont="1" applyFill="1" applyBorder="1"/>
    <xf numFmtId="1" fontId="29" fillId="0" borderId="17" xfId="0" applyNumberFormat="1" applyFont="1" applyFill="1" applyBorder="1"/>
    <xf numFmtId="0" fontId="29" fillId="0" borderId="17" xfId="0" applyFont="1" applyBorder="1" applyAlignment="1">
      <alignment horizontal="right"/>
    </xf>
    <xf numFmtId="169" fontId="29" fillId="0" borderId="17" xfId="133" applyNumberFormat="1" applyFont="1" applyBorder="1" applyAlignment="1">
      <alignment horizontal="right"/>
    </xf>
    <xf numFmtId="37" fontId="29" fillId="0" borderId="17" xfId="133" applyNumberFormat="1" applyFont="1" applyBorder="1" applyAlignment="1">
      <alignment horizontal="right"/>
    </xf>
    <xf numFmtId="169" fontId="29" fillId="0" borderId="0" xfId="0" applyNumberFormat="1" applyFont="1"/>
    <xf numFmtId="169" fontId="29" fillId="0" borderId="17" xfId="133" applyNumberFormat="1" applyFont="1" applyBorder="1"/>
    <xf numFmtId="0" fontId="25" fillId="25" borderId="19" xfId="0" applyNumberFormat="1" applyFont="1" applyFill="1" applyBorder="1" applyAlignment="1" applyProtection="1">
      <alignment horizontal="left" wrapText="1"/>
    </xf>
    <xf numFmtId="0" fontId="26" fillId="25" borderId="20" xfId="0" applyNumberFormat="1" applyFont="1" applyFill="1" applyBorder="1" applyAlignment="1" applyProtection="1">
      <alignment horizontal="center"/>
    </xf>
    <xf numFmtId="0" fontId="26" fillId="25" borderId="22" xfId="0" applyNumberFormat="1" applyFont="1" applyFill="1" applyBorder="1" applyAlignment="1" applyProtection="1">
      <alignment wrapText="1"/>
    </xf>
    <xf numFmtId="0" fontId="26" fillId="25" borderId="19" xfId="0" applyNumberFormat="1" applyFont="1" applyFill="1" applyBorder="1" applyAlignment="1" applyProtection="1">
      <alignment horizontal="left"/>
    </xf>
    <xf numFmtId="0" fontId="26" fillId="25" borderId="20" xfId="0" applyNumberFormat="1" applyFont="1" applyFill="1" applyBorder="1" applyAlignment="1" applyProtection="1">
      <alignment horizontal="right"/>
    </xf>
    <xf numFmtId="0" fontId="26" fillId="25" borderId="20" xfId="0" applyNumberFormat="1" applyFont="1" applyFill="1" applyBorder="1" applyAlignment="1" applyProtection="1"/>
    <xf numFmtId="0" fontId="26" fillId="25" borderId="22" xfId="0" applyNumberFormat="1" applyFont="1" applyFill="1" applyBorder="1" applyAlignment="1" applyProtection="1"/>
    <xf numFmtId="0" fontId="26" fillId="25" borderId="19" xfId="0" applyNumberFormat="1" applyFont="1" applyFill="1" applyBorder="1" applyAlignment="1" applyProtection="1">
      <alignment horizontal="center"/>
    </xf>
    <xf numFmtId="0" fontId="0" fillId="25" borderId="23" xfId="0" applyNumberFormat="1" applyFill="1" applyBorder="1" applyAlignment="1" applyProtection="1">
      <alignment wrapText="1"/>
    </xf>
    <xf numFmtId="0" fontId="26" fillId="25" borderId="24" xfId="0" applyNumberFormat="1" applyFont="1" applyFill="1" applyBorder="1" applyAlignment="1" applyProtection="1">
      <alignment horizontal="center"/>
    </xf>
    <xf numFmtId="0" fontId="26" fillId="25" borderId="25" xfId="0" applyNumberFormat="1" applyFont="1" applyFill="1" applyBorder="1" applyAlignment="1" applyProtection="1">
      <alignment horizontal="center" wrapText="1"/>
    </xf>
    <xf numFmtId="16" fontId="0" fillId="25" borderId="23" xfId="0" applyNumberFormat="1" applyFill="1" applyBorder="1" applyAlignment="1" applyProtection="1">
      <alignment horizontal="center"/>
    </xf>
    <xf numFmtId="0" fontId="0" fillId="25" borderId="24" xfId="0" quotePrefix="1" applyNumberFormat="1" applyFill="1" applyBorder="1" applyAlignment="1" applyProtection="1">
      <alignment horizontal="center"/>
    </xf>
    <xf numFmtId="0" fontId="0" fillId="25" borderId="25" xfId="0" quotePrefix="1" applyNumberFormat="1" applyFill="1" applyBorder="1" applyAlignment="1" applyProtection="1">
      <alignment horizontal="center"/>
    </xf>
    <xf numFmtId="16" fontId="0" fillId="25" borderId="24" xfId="0" applyNumberFormat="1" applyFill="1" applyBorder="1" applyAlignment="1" applyProtection="1">
      <alignment horizontal="center"/>
    </xf>
    <xf numFmtId="0" fontId="0" fillId="25" borderId="26" xfId="0" applyNumberFormat="1" applyFill="1" applyBorder="1" applyAlignment="1" applyProtection="1"/>
    <xf numFmtId="3" fontId="0" fillId="0" borderId="18" xfId="0" applyNumberFormat="1" applyFill="1" applyBorder="1" applyAlignment="1" applyProtection="1">
      <protection locked="0"/>
    </xf>
    <xf numFmtId="0" fontId="0" fillId="0" borderId="18" xfId="0" applyNumberFormat="1" applyFill="1" applyBorder="1" applyAlignment="1" applyProtection="1">
      <alignment horizontal="center"/>
      <protection locked="0"/>
    </xf>
    <xf numFmtId="169" fontId="0" fillId="25" borderId="0" xfId="133" applyNumberFormat="1" applyFont="1" applyFill="1" applyBorder="1" applyProtection="1"/>
    <xf numFmtId="0" fontId="4" fillId="0" borderId="18" xfId="0" applyNumberFormat="1" applyFont="1" applyFill="1" applyBorder="1" applyAlignment="1" applyProtection="1">
      <alignment horizontal="center"/>
      <protection locked="0"/>
    </xf>
    <xf numFmtId="3" fontId="0" fillId="25" borderId="26" xfId="133" applyNumberFormat="1" applyFont="1" applyFill="1" applyBorder="1" applyAlignment="1" applyProtection="1">
      <alignment horizontal="right"/>
    </xf>
    <xf numFmtId="3" fontId="0" fillId="25" borderId="0" xfId="133" applyNumberFormat="1" applyFont="1" applyFill="1" applyBorder="1" applyAlignment="1" applyProtection="1">
      <alignment horizontal="right"/>
    </xf>
    <xf numFmtId="3" fontId="0" fillId="25" borderId="16" xfId="133" applyNumberFormat="1" applyFont="1" applyFill="1" applyBorder="1" applyAlignment="1" applyProtection="1">
      <alignment horizontal="right"/>
    </xf>
    <xf numFmtId="3" fontId="0" fillId="0" borderId="12" xfId="0" applyNumberFormat="1" applyFill="1" applyBorder="1" applyAlignment="1" applyProtection="1">
      <protection locked="0"/>
    </xf>
    <xf numFmtId="0" fontId="0" fillId="0" borderId="12" xfId="0" applyNumberFormat="1" applyFill="1" applyBorder="1" applyAlignment="1" applyProtection="1">
      <alignment horizontal="center"/>
      <protection locked="0"/>
    </xf>
    <xf numFmtId="0" fontId="4" fillId="0" borderId="12" xfId="0" applyNumberFormat="1" applyFont="1" applyFill="1" applyBorder="1" applyAlignment="1" applyProtection="1">
      <alignment horizontal="center"/>
      <protection locked="0"/>
    </xf>
    <xf numFmtId="3" fontId="4" fillId="25" borderId="26" xfId="133" applyNumberFormat="1" applyFont="1" applyFill="1" applyBorder="1" applyAlignment="1" applyProtection="1">
      <alignment horizontal="right"/>
    </xf>
    <xf numFmtId="2" fontId="0" fillId="0" borderId="12" xfId="0" applyNumberFormat="1" applyFill="1" applyBorder="1" applyAlignment="1" applyProtection="1">
      <protection locked="0"/>
    </xf>
    <xf numFmtId="44" fontId="0" fillId="25" borderId="0" xfId="133" applyFont="1" applyFill="1" applyBorder="1" applyProtection="1"/>
    <xf numFmtId="3" fontId="0" fillId="25" borderId="14" xfId="133" applyNumberFormat="1" applyFont="1" applyFill="1" applyBorder="1" applyAlignment="1" applyProtection="1">
      <alignment horizontal="right"/>
    </xf>
    <xf numFmtId="3" fontId="0" fillId="25" borderId="17" xfId="133" applyNumberFormat="1" applyFont="1" applyFill="1" applyBorder="1" applyAlignment="1" applyProtection="1">
      <alignment horizontal="right"/>
    </xf>
    <xf numFmtId="3" fontId="0" fillId="25" borderId="21" xfId="133" applyNumberFormat="1" applyFont="1" applyFill="1" applyBorder="1" applyAlignment="1" applyProtection="1">
      <alignment horizontal="right"/>
    </xf>
    <xf numFmtId="0" fontId="23" fillId="25" borderId="10" xfId="0" applyNumberFormat="1" applyFont="1" applyFill="1" applyBorder="1" applyAlignment="1" applyProtection="1"/>
    <xf numFmtId="2" fontId="0" fillId="25" borderId="11" xfId="0" applyNumberFormat="1" applyFill="1" applyBorder="1" applyAlignment="1" applyProtection="1"/>
    <xf numFmtId="0" fontId="26" fillId="25" borderId="11" xfId="0" applyNumberFormat="1" applyFont="1" applyFill="1" applyBorder="1" applyAlignment="1" applyProtection="1">
      <alignment horizontal="right"/>
    </xf>
    <xf numFmtId="44" fontId="0" fillId="25" borderId="11" xfId="133" applyFont="1" applyFill="1" applyBorder="1" applyProtection="1"/>
    <xf numFmtId="0" fontId="0" fillId="25" borderId="10" xfId="0" applyNumberFormat="1" applyFill="1" applyBorder="1" applyAlignment="1" applyProtection="1">
      <alignment horizontal="center"/>
    </xf>
    <xf numFmtId="0" fontId="0" fillId="25" borderId="11" xfId="0" applyNumberFormat="1" applyFill="1" applyBorder="1" applyAlignment="1" applyProtection="1">
      <alignment horizontal="center"/>
    </xf>
    <xf numFmtId="0" fontId="0" fillId="25" borderId="13" xfId="0" applyNumberFormat="1" applyFill="1" applyBorder="1" applyAlignment="1" applyProtection="1">
      <alignment horizontal="center"/>
    </xf>
    <xf numFmtId="3" fontId="23" fillId="25" borderId="26" xfId="0" applyNumberFormat="1" applyFont="1" applyFill="1" applyBorder="1" applyAlignment="1" applyProtection="1">
      <alignment horizontal="right"/>
    </xf>
    <xf numFmtId="3" fontId="23" fillId="25" borderId="0" xfId="133" applyNumberFormat="1" applyFont="1" applyFill="1" applyBorder="1" applyAlignment="1" applyProtection="1">
      <alignment horizontal="right"/>
    </xf>
    <xf numFmtId="3" fontId="3" fillId="0" borderId="0" xfId="0" applyNumberFormat="1" applyFont="1"/>
    <xf numFmtId="165" fontId="0" fillId="0" borderId="17" xfId="0" applyNumberFormat="1" applyBorder="1" applyAlignment="1">
      <alignment horizontal="right"/>
    </xf>
    <xf numFmtId="169" fontId="0" fillId="0" borderId="0" xfId="0" applyNumberFormat="1" applyBorder="1"/>
    <xf numFmtId="169" fontId="3" fillId="0" borderId="0" xfId="0" applyNumberFormat="1" applyFont="1" applyBorder="1" applyAlignment="1">
      <alignment horizontal="right"/>
    </xf>
    <xf numFmtId="39" fontId="0" fillId="0" borderId="0" xfId="0" applyNumberFormat="1" applyBorder="1"/>
    <xf numFmtId="39" fontId="0" fillId="0" borderId="17" xfId="0" applyNumberFormat="1" applyFont="1" applyBorder="1"/>
    <xf numFmtId="39" fontId="0" fillId="0" borderId="0" xfId="0" applyNumberFormat="1"/>
    <xf numFmtId="44" fontId="0" fillId="0" borderId="17" xfId="0" applyNumberFormat="1" applyBorder="1"/>
    <xf numFmtId="2" fontId="0" fillId="0" borderId="17" xfId="0" applyNumberFormat="1" applyBorder="1"/>
    <xf numFmtId="0" fontId="0" fillId="0" borderId="0" xfId="0" applyBorder="1" applyAlignment="1">
      <alignment horizontal="right"/>
    </xf>
    <xf numFmtId="166" fontId="0" fillId="0" borderId="0" xfId="0" applyNumberFormat="1" applyBorder="1" applyAlignment="1">
      <alignment horizontal="right"/>
    </xf>
    <xf numFmtId="44" fontId="0" fillId="0" borderId="0" xfId="0" applyNumberFormat="1" applyBorder="1" applyAlignment="1">
      <alignment horizontal="right"/>
    </xf>
    <xf numFmtId="44" fontId="0" fillId="0" borderId="0" xfId="133" applyNumberFormat="1" applyFont="1" applyBorder="1"/>
    <xf numFmtId="169" fontId="29" fillId="0" borderId="0" xfId="133" applyNumberFormat="1" applyFont="1" applyFill="1" applyBorder="1" applyAlignment="1" applyProtection="1">
      <alignment horizontal="center"/>
    </xf>
    <xf numFmtId="169" fontId="29" fillId="0" borderId="0" xfId="133" applyNumberFormat="1" applyFont="1" applyFill="1" applyBorder="1" applyAlignment="1" applyProtection="1">
      <alignment horizontal="left"/>
    </xf>
    <xf numFmtId="0" fontId="29" fillId="0" borderId="17" xfId="0" applyNumberFormat="1" applyFont="1" applyFill="1" applyBorder="1" applyAlignment="1" applyProtection="1">
      <alignment horizontal="left" vertical="top" wrapText="1"/>
    </xf>
    <xf numFmtId="169" fontId="29" fillId="0" borderId="17" xfId="133" applyNumberFormat="1" applyFont="1" applyFill="1" applyBorder="1" applyAlignment="1" applyProtection="1">
      <protection locked="0"/>
    </xf>
    <xf numFmtId="3" fontId="29" fillId="0" borderId="0" xfId="0" applyNumberFormat="1" applyFont="1" applyFill="1" applyBorder="1" applyAlignment="1" applyProtection="1">
      <alignment horizontal="right"/>
    </xf>
    <xf numFmtId="169" fontId="3" fillId="0" borderId="0" xfId="0" applyNumberFormat="1" applyFont="1" applyFill="1" applyAlignment="1"/>
    <xf numFmtId="9" fontId="3" fillId="0" borderId="0" xfId="150" applyFont="1" applyFill="1"/>
    <xf numFmtId="9" fontId="3" fillId="0" borderId="17" xfId="150" applyFont="1" applyFill="1" applyBorder="1"/>
    <xf numFmtId="1" fontId="3" fillId="0" borderId="17" xfId="0" applyNumberFormat="1" applyFont="1" applyFill="1" applyBorder="1"/>
    <xf numFmtId="0" fontId="0" fillId="0" borderId="0" xfId="0"/>
    <xf numFmtId="0" fontId="0" fillId="0" borderId="0" xfId="0"/>
    <xf numFmtId="0" fontId="0" fillId="0" borderId="0" xfId="0"/>
    <xf numFmtId="0" fontId="3" fillId="0" borderId="0" xfId="0" applyFont="1"/>
    <xf numFmtId="0" fontId="0" fillId="0" borderId="0" xfId="0"/>
    <xf numFmtId="42" fontId="0" fillId="0" borderId="0" xfId="0" applyNumberFormat="1" applyFont="1" applyBorder="1"/>
    <xf numFmtId="0" fontId="0" fillId="0" borderId="0" xfId="0"/>
    <xf numFmtId="42" fontId="0" fillId="0" borderId="0" xfId="0" applyNumberFormat="1" applyFont="1" applyFill="1"/>
    <xf numFmtId="9" fontId="3" fillId="0" borderId="0" xfId="0" applyNumberFormat="1" applyFont="1" applyFill="1"/>
    <xf numFmtId="9" fontId="0" fillId="0" borderId="0" xfId="0" applyNumberFormat="1" applyFont="1" applyFill="1"/>
    <xf numFmtId="166" fontId="0" fillId="0" borderId="0" xfId="0" applyNumberFormat="1" applyFont="1" applyFill="1"/>
    <xf numFmtId="166" fontId="3" fillId="0" borderId="0" xfId="0" applyNumberFormat="1" applyFont="1" applyFill="1"/>
    <xf numFmtId="169" fontId="3" fillId="0" borderId="0" xfId="0" applyNumberFormat="1" applyFont="1" applyFill="1"/>
    <xf numFmtId="1" fontId="0" fillId="0" borderId="0" xfId="0" applyNumberFormat="1" applyFill="1"/>
    <xf numFmtId="1" fontId="0" fillId="0" borderId="0" xfId="0" applyNumberFormat="1" applyFont="1" applyFill="1"/>
    <xf numFmtId="175" fontId="3" fillId="0" borderId="0" xfId="0" applyNumberFormat="1" applyFont="1"/>
    <xf numFmtId="42" fontId="3" fillId="0" borderId="17" xfId="0" applyNumberFormat="1" applyFont="1" applyFill="1" applyBorder="1"/>
    <xf numFmtId="0" fontId="3" fillId="0" borderId="17" xfId="0" applyFont="1" applyBorder="1" applyAlignment="1">
      <alignment horizontal="left"/>
    </xf>
    <xf numFmtId="0" fontId="3" fillId="0" borderId="17" xfId="0" applyFont="1" applyBorder="1" applyAlignment="1">
      <alignment horizontal="left"/>
    </xf>
    <xf numFmtId="0" fontId="3" fillId="0" borderId="0" xfId="0" applyFont="1" applyAlignment="1">
      <alignment horizontal="left"/>
    </xf>
    <xf numFmtId="9" fontId="3" fillId="0" borderId="0" xfId="0" applyNumberFormat="1" applyFont="1" applyFill="1"/>
    <xf numFmtId="42" fontId="3" fillId="0" borderId="0" xfId="0" applyNumberFormat="1" applyFont="1"/>
    <xf numFmtId="42" fontId="0" fillId="0" borderId="0" xfId="0" applyNumberFormat="1" applyFont="1"/>
    <xf numFmtId="9" fontId="0" fillId="0" borderId="0" xfId="0" applyNumberFormat="1" applyFont="1" applyFill="1"/>
    <xf numFmtId="166" fontId="0" fillId="0" borderId="0" xfId="0" applyNumberFormat="1" applyFont="1" applyFill="1"/>
    <xf numFmtId="166" fontId="3" fillId="0" borderId="0" xfId="0" applyNumberFormat="1" applyFont="1" applyFill="1"/>
    <xf numFmtId="169" fontId="3" fillId="0" borderId="0" xfId="0" applyNumberFormat="1" applyFont="1"/>
    <xf numFmtId="169" fontId="0" fillId="0" borderId="0" xfId="0" applyNumberFormat="1" applyFont="1"/>
    <xf numFmtId="1" fontId="0" fillId="0" borderId="0" xfId="0" applyNumberFormat="1" applyFont="1" applyFill="1"/>
    <xf numFmtId="0" fontId="3" fillId="0" borderId="17" xfId="0" applyFont="1" applyBorder="1" applyAlignment="1">
      <alignment horizontal="left"/>
    </xf>
    <xf numFmtId="175" fontId="3" fillId="0" borderId="0" xfId="0" applyNumberFormat="1" applyFont="1"/>
    <xf numFmtId="175" fontId="0" fillId="0" borderId="0" xfId="0" applyNumberFormat="1" applyFont="1"/>
    <xf numFmtId="44" fontId="0" fillId="0" borderId="0" xfId="0" applyNumberFormat="1" applyFont="1" applyBorder="1"/>
    <xf numFmtId="0" fontId="3" fillId="0" borderId="0" xfId="0" applyNumberFormat="1" applyFont="1" applyFill="1" applyAlignment="1">
      <alignment horizontal="left"/>
    </xf>
    <xf numFmtId="0" fontId="0" fillId="0" borderId="0" xfId="0"/>
    <xf numFmtId="49" fontId="0" fillId="0" borderId="0" xfId="0" applyNumberFormat="1"/>
    <xf numFmtId="2" fontId="3" fillId="0" borderId="0" xfId="0" applyNumberFormat="1" applyFont="1" applyFill="1"/>
    <xf numFmtId="0" fontId="0" fillId="0" borderId="0" xfId="0"/>
    <xf numFmtId="0" fontId="29" fillId="0" borderId="0" xfId="0" applyFont="1"/>
    <xf numFmtId="0" fontId="42" fillId="0" borderId="0" xfId="0" applyFont="1"/>
    <xf numFmtId="0" fontId="0" fillId="0" borderId="0" xfId="0"/>
    <xf numFmtId="0" fontId="0" fillId="0" borderId="0" xfId="0"/>
    <xf numFmtId="0" fontId="0" fillId="0" borderId="0" xfId="0" applyFont="1"/>
    <xf numFmtId="0" fontId="0" fillId="0" borderId="0" xfId="0" applyFont="1" applyAlignment="1">
      <alignment horizontal="left"/>
    </xf>
    <xf numFmtId="9" fontId="3" fillId="0" borderId="0" xfId="0" applyNumberFormat="1" applyFont="1" applyFill="1"/>
    <xf numFmtId="42" fontId="3" fillId="0" borderId="0" xfId="0" applyNumberFormat="1" applyFont="1"/>
    <xf numFmtId="166" fontId="3" fillId="0" borderId="0" xfId="0" applyNumberFormat="1" applyFont="1" applyFill="1"/>
    <xf numFmtId="169" fontId="3" fillId="0" borderId="0" xfId="0" applyNumberFormat="1" applyFont="1"/>
    <xf numFmtId="175" fontId="3" fillId="0" borderId="0" xfId="0" applyNumberFormat="1" applyFont="1"/>
    <xf numFmtId="0" fontId="3" fillId="0" borderId="0" xfId="0" applyFont="1" applyAlignment="1">
      <alignment horizontal="center"/>
    </xf>
    <xf numFmtId="0" fontId="0" fillId="0" borderId="0" xfId="0" applyAlignment="1">
      <alignment horizontal="center"/>
    </xf>
    <xf numFmtId="175" fontId="0" fillId="0" borderId="0" xfId="0" applyNumberFormat="1" applyFill="1"/>
    <xf numFmtId="0" fontId="0" fillId="28" borderId="0" xfId="0" applyFont="1" applyFill="1" applyAlignment="1">
      <alignment vertical="center" wrapText="1"/>
    </xf>
    <xf numFmtId="0" fontId="48" fillId="28" borderId="0" xfId="0" applyFont="1" applyFill="1" applyAlignment="1">
      <alignment vertical="center"/>
    </xf>
    <xf numFmtId="49" fontId="49" fillId="28" borderId="0" xfId="0" applyNumberFormat="1" applyFont="1" applyFill="1" applyAlignment="1">
      <alignment horizontal="left" vertical="center" wrapText="1"/>
    </xf>
    <xf numFmtId="0" fontId="0" fillId="0" borderId="0" xfId="0" applyFont="1" applyAlignment="1">
      <alignment vertical="center"/>
    </xf>
    <xf numFmtId="49" fontId="50" fillId="29" borderId="27" xfId="0" applyNumberFormat="1" applyFont="1" applyFill="1" applyBorder="1" applyAlignment="1">
      <alignment horizontal="left" vertical="center"/>
    </xf>
    <xf numFmtId="0" fontId="47" fillId="29" borderId="28" xfId="0" applyFont="1" applyFill="1" applyBorder="1" applyAlignment="1">
      <alignment vertical="center"/>
    </xf>
    <xf numFmtId="0" fontId="51" fillId="29" borderId="29" xfId="0" applyFont="1" applyFill="1" applyBorder="1" applyAlignment="1">
      <alignment vertical="center" wrapText="1"/>
    </xf>
    <xf numFmtId="49" fontId="0" fillId="24" borderId="33" xfId="0" applyNumberFormat="1" applyFont="1" applyFill="1" applyBorder="1" applyAlignment="1">
      <alignment horizontal="left" vertical="center" wrapText="1"/>
    </xf>
    <xf numFmtId="0" fontId="3" fillId="0" borderId="0" xfId="0" applyFont="1" applyAlignment="1">
      <alignment horizontal="center" wrapText="1"/>
    </xf>
    <xf numFmtId="0" fontId="49" fillId="0" borderId="0" xfId="0" applyFont="1" applyAlignment="1">
      <alignment vertical="center"/>
    </xf>
    <xf numFmtId="0" fontId="3" fillId="0" borderId="0" xfId="0" applyFont="1" applyFill="1" applyAlignment="1"/>
    <xf numFmtId="0" fontId="3" fillId="0" borderId="0" xfId="0" applyFont="1" applyAlignment="1">
      <alignment horizontal="center" vertical="center"/>
    </xf>
    <xf numFmtId="0" fontId="0" fillId="0" borderId="34" xfId="0" applyBorder="1"/>
    <xf numFmtId="0" fontId="29" fillId="32" borderId="12" xfId="0" applyFont="1" applyFill="1" applyBorder="1" applyAlignment="1">
      <alignment horizontal="center" vertical="center" wrapText="1"/>
    </xf>
    <xf numFmtId="0" fontId="29" fillId="32" borderId="12" xfId="0" applyFont="1" applyFill="1" applyBorder="1" applyAlignment="1">
      <alignment horizontal="left" vertical="center" wrapText="1"/>
    </xf>
    <xf numFmtId="42" fontId="29" fillId="32" borderId="12" xfId="0" applyNumberFormat="1" applyFont="1" applyFill="1" applyBorder="1" applyAlignment="1">
      <alignment horizontal="left" vertical="center" wrapText="1"/>
    </xf>
    <xf numFmtId="0" fontId="49" fillId="0" borderId="0" xfId="0" applyFont="1" applyFill="1" applyAlignment="1">
      <alignment vertical="center"/>
    </xf>
    <xf numFmtId="0" fontId="29" fillId="24" borderId="12" xfId="152" applyFont="1" applyFill="1" applyBorder="1" applyAlignment="1">
      <alignment vertical="center" wrapText="1"/>
    </xf>
    <xf numFmtId="0" fontId="29" fillId="0" borderId="0" xfId="152" applyFont="1" applyFill="1" applyBorder="1" applyAlignment="1">
      <alignment horizontal="left" vertical="center" wrapText="1"/>
    </xf>
    <xf numFmtId="0" fontId="29" fillId="24" borderId="12" xfId="152" applyFont="1" applyFill="1" applyBorder="1" applyAlignment="1">
      <alignment horizontal="center" vertical="center" wrapText="1"/>
    </xf>
    <xf numFmtId="0" fontId="29" fillId="24" borderId="12" xfId="152" applyFont="1" applyFill="1" applyBorder="1" applyAlignment="1">
      <alignment horizontal="left" vertical="center" wrapText="1" indent="5"/>
    </xf>
    <xf numFmtId="0" fontId="29" fillId="24" borderId="12" xfId="152" applyFont="1" applyFill="1" applyBorder="1" applyAlignment="1">
      <alignment horizontal="left" vertical="center" wrapText="1"/>
    </xf>
    <xf numFmtId="0" fontId="29" fillId="0" borderId="0" xfId="152" applyFont="1" applyFill="1" applyBorder="1" applyAlignment="1">
      <alignment vertical="center" wrapText="1"/>
    </xf>
    <xf numFmtId="0" fontId="0" fillId="0" borderId="0" xfId="152" applyFont="1" applyFill="1" applyBorder="1" applyAlignment="1">
      <alignment horizontal="left"/>
    </xf>
    <xf numFmtId="0" fontId="29" fillId="0" borderId="0" xfId="153" applyFont="1" applyFill="1" applyBorder="1" applyAlignment="1">
      <alignment horizontal="left"/>
    </xf>
    <xf numFmtId="0" fontId="29" fillId="0" borderId="0" xfId="153" applyFont="1" applyFill="1" applyBorder="1"/>
    <xf numFmtId="44" fontId="29" fillId="32" borderId="12" xfId="133" applyFont="1" applyFill="1" applyBorder="1" applyAlignment="1">
      <alignment horizontal="left" vertical="center" wrapText="1"/>
    </xf>
    <xf numFmtId="0" fontId="29" fillId="0" borderId="0" xfId="152" applyFont="1" applyFill="1" applyBorder="1" applyAlignment="1">
      <alignment vertical="top" wrapText="1"/>
    </xf>
    <xf numFmtId="0" fontId="0" fillId="0" borderId="0" xfId="0" applyFont="1" applyFill="1" applyBorder="1" applyAlignment="1">
      <alignment horizontal="left" vertical="top" wrapText="1"/>
    </xf>
    <xf numFmtId="0" fontId="54" fillId="0" borderId="0" xfId="152" applyFont="1" applyFill="1" applyBorder="1" applyAlignment="1">
      <alignment vertical="center" wrapText="1"/>
    </xf>
    <xf numFmtId="169" fontId="29" fillId="32" borderId="12" xfId="133" applyNumberFormat="1" applyFont="1" applyFill="1" applyBorder="1" applyAlignment="1">
      <alignment horizontal="left" vertical="center" wrapText="1"/>
    </xf>
    <xf numFmtId="169" fontId="29" fillId="32" borderId="12" xfId="133" applyNumberFormat="1" applyFont="1" applyFill="1" applyBorder="1" applyAlignment="1">
      <alignment horizontal="right" vertical="center" wrapText="1"/>
    </xf>
    <xf numFmtId="0" fontId="29" fillId="33" borderId="35" xfId="0" applyFont="1" applyFill="1" applyBorder="1" applyAlignment="1">
      <alignment horizontal="center" vertical="center" wrapText="1"/>
    </xf>
    <xf numFmtId="0" fontId="29" fillId="33" borderId="35" xfId="0" applyFont="1" applyFill="1" applyBorder="1" applyAlignment="1">
      <alignment horizontal="left" vertical="center" wrapText="1"/>
    </xf>
    <xf numFmtId="0" fontId="29" fillId="33" borderId="0" xfId="0" applyFont="1" applyFill="1" applyBorder="1" applyAlignment="1">
      <alignment horizontal="left" vertical="center" wrapText="1"/>
    </xf>
    <xf numFmtId="169" fontId="29" fillId="32" borderId="12" xfId="0" applyNumberFormat="1" applyFont="1" applyFill="1" applyBorder="1" applyAlignment="1">
      <alignment horizontal="left" vertical="center" wrapText="1"/>
    </xf>
    <xf numFmtId="0" fontId="54" fillId="33" borderId="35" xfId="0" applyFont="1" applyFill="1" applyBorder="1" applyAlignment="1">
      <alignment horizontal="center" vertical="center" wrapText="1"/>
    </xf>
    <xf numFmtId="0" fontId="54" fillId="33" borderId="35" xfId="0" applyFont="1" applyFill="1" applyBorder="1" applyAlignment="1">
      <alignment horizontal="left" vertical="center" wrapText="1"/>
    </xf>
    <xf numFmtId="0" fontId="29" fillId="34" borderId="36" xfId="152" applyFont="1" applyFill="1" applyBorder="1" applyAlignment="1">
      <alignment horizontal="center" vertical="center" wrapText="1"/>
    </xf>
    <xf numFmtId="0" fontId="29" fillId="34" borderId="36" xfId="152" applyFont="1" applyFill="1" applyBorder="1" applyAlignment="1">
      <alignment vertical="center" wrapText="1"/>
    </xf>
    <xf numFmtId="0" fontId="29" fillId="34" borderId="0" xfId="152" applyFont="1" applyFill="1" applyBorder="1" applyAlignment="1">
      <alignment vertical="center" wrapText="1"/>
    </xf>
    <xf numFmtId="0" fontId="29" fillId="34" borderId="0" xfId="152" applyFont="1" applyFill="1" applyBorder="1" applyAlignment="1">
      <alignment horizontal="center" vertical="center" wrapText="1"/>
    </xf>
    <xf numFmtId="0" fontId="1" fillId="35" borderId="0" xfId="0" applyFont="1" applyFill="1" applyBorder="1" applyAlignment="1">
      <alignment vertical="center"/>
    </xf>
    <xf numFmtId="0" fontId="55" fillId="35" borderId="0" xfId="0" applyFont="1" applyFill="1" applyBorder="1" applyAlignment="1">
      <alignment vertical="center" wrapText="1"/>
    </xf>
    <xf numFmtId="49" fontId="49" fillId="35" borderId="0" xfId="0" applyNumberFormat="1" applyFont="1" applyFill="1" applyAlignment="1">
      <alignment horizontal="left" vertical="center" wrapText="1"/>
    </xf>
    <xf numFmtId="0" fontId="49" fillId="35" borderId="0" xfId="0" applyFont="1" applyFill="1" applyAlignment="1">
      <alignment vertical="center"/>
    </xf>
    <xf numFmtId="0" fontId="56" fillId="35" borderId="0" xfId="0" applyFont="1" applyFill="1" applyAlignment="1">
      <alignment vertical="center"/>
    </xf>
    <xf numFmtId="49" fontId="49" fillId="35" borderId="0" xfId="0" applyNumberFormat="1" applyFont="1" applyFill="1" applyAlignment="1">
      <alignment horizontal="left" vertical="center"/>
    </xf>
    <xf numFmtId="0" fontId="0" fillId="0" borderId="0" xfId="0" applyFont="1" applyAlignment="1">
      <alignment vertical="center" wrapText="1"/>
    </xf>
    <xf numFmtId="49" fontId="49" fillId="0" borderId="0" xfId="0" applyNumberFormat="1" applyFont="1" applyAlignment="1">
      <alignment horizontal="left" vertical="center" wrapText="1"/>
    </xf>
    <xf numFmtId="0" fontId="3" fillId="0" borderId="12" xfId="0" applyFont="1" applyBorder="1"/>
    <xf numFmtId="0" fontId="3" fillId="0" borderId="12" xfId="0" applyFont="1" applyBorder="1" applyAlignment="1">
      <alignment horizontal="right"/>
    </xf>
    <xf numFmtId="0" fontId="3" fillId="0" borderId="0" xfId="0" applyFont="1" applyBorder="1" applyAlignment="1">
      <alignment horizontal="right"/>
    </xf>
    <xf numFmtId="1" fontId="0" fillId="0" borderId="12" xfId="150" applyNumberFormat="1" applyFont="1" applyBorder="1" applyAlignment="1">
      <alignment horizontal="right"/>
    </xf>
    <xf numFmtId="178" fontId="0" fillId="0" borderId="0" xfId="151" applyNumberFormat="1" applyFont="1" applyBorder="1"/>
    <xf numFmtId="1" fontId="0" fillId="0" borderId="12" xfId="0" applyNumberFormat="1" applyBorder="1" applyAlignment="1">
      <alignment horizontal="right"/>
    </xf>
    <xf numFmtId="9" fontId="0" fillId="0" borderId="12" xfId="150" applyFont="1" applyBorder="1" applyAlignment="1">
      <alignment horizontal="right"/>
    </xf>
    <xf numFmtId="9" fontId="0" fillId="0" borderId="0" xfId="150" applyFont="1" applyBorder="1"/>
    <xf numFmtId="0" fontId="3" fillId="0" borderId="12" xfId="0" applyFont="1" applyBorder="1" applyAlignment="1">
      <alignment horizontal="left"/>
    </xf>
    <xf numFmtId="9" fontId="2" fillId="0" borderId="12" xfId="150" applyFont="1" applyBorder="1" applyAlignment="1">
      <alignment horizontal="right"/>
    </xf>
    <xf numFmtId="9" fontId="3" fillId="0" borderId="0" xfId="150" applyFont="1" applyBorder="1"/>
    <xf numFmtId="9" fontId="0" fillId="0" borderId="0" xfId="150" applyNumberFormat="1" applyFont="1"/>
    <xf numFmtId="0" fontId="0" fillId="0" borderId="44" xfId="0" applyBorder="1"/>
    <xf numFmtId="0" fontId="0" fillId="0" borderId="45" xfId="0" applyBorder="1"/>
    <xf numFmtId="0" fontId="0" fillId="0" borderId="46" xfId="0" applyBorder="1"/>
    <xf numFmtId="0" fontId="0" fillId="0" borderId="48" xfId="0" applyBorder="1"/>
    <xf numFmtId="1" fontId="0" fillId="0" borderId="37" xfId="0" applyNumberFormat="1" applyBorder="1"/>
    <xf numFmtId="1" fontId="0" fillId="0" borderId="49" xfId="0" applyNumberFormat="1" applyBorder="1"/>
    <xf numFmtId="1" fontId="0" fillId="0" borderId="38" xfId="0" applyNumberFormat="1" applyBorder="1"/>
    <xf numFmtId="0" fontId="0" fillId="0" borderId="51" xfId="0" applyBorder="1"/>
    <xf numFmtId="1" fontId="0" fillId="0" borderId="52" xfId="0" applyNumberFormat="1" applyBorder="1"/>
    <xf numFmtId="1" fontId="0" fillId="0" borderId="53" xfId="0" applyNumberFormat="1" applyBorder="1"/>
    <xf numFmtId="0" fontId="0" fillId="0" borderId="55" xfId="0" applyBorder="1"/>
    <xf numFmtId="1" fontId="0" fillId="0" borderId="42" xfId="0" applyNumberFormat="1" applyBorder="1"/>
    <xf numFmtId="1" fontId="0" fillId="0" borderId="56" xfId="0" applyNumberFormat="1" applyBorder="1"/>
    <xf numFmtId="1" fontId="0" fillId="0" borderId="43" xfId="0" applyNumberFormat="1" applyBorder="1"/>
    <xf numFmtId="0" fontId="0" fillId="0" borderId="0" xfId="0" applyBorder="1" applyAlignment="1">
      <alignment horizontal="center" vertical="center" wrapText="1"/>
    </xf>
    <xf numFmtId="167" fontId="0" fillId="0" borderId="44" xfId="0" applyNumberFormat="1" applyBorder="1"/>
    <xf numFmtId="0" fontId="0" fillId="0" borderId="0" xfId="0" applyBorder="1" applyAlignment="1">
      <alignment horizontal="center" wrapText="1"/>
    </xf>
    <xf numFmtId="167" fontId="0" fillId="0" borderId="37" xfId="0" applyNumberFormat="1" applyBorder="1"/>
    <xf numFmtId="167" fontId="0" fillId="0" borderId="49" xfId="0" applyNumberFormat="1" applyBorder="1"/>
    <xf numFmtId="167" fontId="0" fillId="0" borderId="38" xfId="0" applyNumberFormat="1" applyBorder="1"/>
    <xf numFmtId="167" fontId="0" fillId="0" borderId="52" xfId="0" applyNumberFormat="1" applyBorder="1"/>
    <xf numFmtId="167" fontId="0" fillId="0" borderId="0" xfId="0" applyNumberFormat="1" applyBorder="1"/>
    <xf numFmtId="167" fontId="0" fillId="0" borderId="53" xfId="0" applyNumberFormat="1" applyBorder="1"/>
    <xf numFmtId="167" fontId="0" fillId="0" borderId="42" xfId="0" applyNumberFormat="1" applyBorder="1"/>
    <xf numFmtId="167" fontId="0" fillId="0" borderId="56" xfId="0" applyNumberFormat="1" applyBorder="1"/>
    <xf numFmtId="167" fontId="0" fillId="0" borderId="43" xfId="0" applyNumberFormat="1" applyBorder="1"/>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1" fontId="0" fillId="0" borderId="62" xfId="0" applyNumberFormat="1" applyBorder="1"/>
    <xf numFmtId="1" fontId="0" fillId="0" borderId="63" xfId="0" applyNumberFormat="1" applyBorder="1"/>
    <xf numFmtId="1" fontId="0" fillId="0" borderId="64" xfId="0" applyNumberFormat="1" applyBorder="1"/>
    <xf numFmtId="0" fontId="0" fillId="0" borderId="65" xfId="0" applyBorder="1"/>
    <xf numFmtId="1" fontId="0" fillId="0" borderId="66" xfId="0" applyNumberFormat="1" applyBorder="1"/>
    <xf numFmtId="1" fontId="0" fillId="0" borderId="12" xfId="0" applyNumberFormat="1" applyBorder="1"/>
    <xf numFmtId="1" fontId="0" fillId="0" borderId="67" xfId="0" applyNumberFormat="1" applyBorder="1"/>
    <xf numFmtId="1" fontId="0" fillId="0" borderId="68" xfId="0" applyNumberFormat="1" applyBorder="1"/>
    <xf numFmtId="1" fontId="0" fillId="0" borderId="69" xfId="0" applyNumberFormat="1" applyBorder="1"/>
    <xf numFmtId="1" fontId="0" fillId="0" borderId="70" xfId="0" applyNumberFormat="1" applyBorder="1"/>
    <xf numFmtId="0" fontId="0" fillId="0" borderId="71" xfId="0" applyBorder="1"/>
    <xf numFmtId="0" fontId="0" fillId="0" borderId="72" xfId="0" applyBorder="1"/>
    <xf numFmtId="9" fontId="0" fillId="0" borderId="62" xfId="150" applyFont="1" applyBorder="1"/>
    <xf numFmtId="9" fontId="0" fillId="0" borderId="63" xfId="150" applyFont="1" applyBorder="1"/>
    <xf numFmtId="9" fontId="0" fillId="0" borderId="64" xfId="150" applyFont="1" applyBorder="1"/>
    <xf numFmtId="9" fontId="0" fillId="0" borderId="66" xfId="150" applyFont="1" applyBorder="1"/>
    <xf numFmtId="9" fontId="0" fillId="0" borderId="12" xfId="150" applyFont="1" applyBorder="1"/>
    <xf numFmtId="9" fontId="0" fillId="0" borderId="67" xfId="150" applyFont="1" applyBorder="1"/>
    <xf numFmtId="9" fontId="0" fillId="0" borderId="68" xfId="150" applyFont="1" applyBorder="1"/>
    <xf numFmtId="9" fontId="0" fillId="0" borderId="69" xfId="150" applyFont="1" applyBorder="1"/>
    <xf numFmtId="9" fontId="0" fillId="0" borderId="70" xfId="150" applyFont="1" applyBorder="1"/>
    <xf numFmtId="0" fontId="0" fillId="0" borderId="47" xfId="0" applyBorder="1"/>
    <xf numFmtId="0" fontId="0" fillId="0" borderId="54" xfId="0" applyBorder="1"/>
    <xf numFmtId="174" fontId="57" fillId="0" borderId="0" xfId="3" applyNumberFormat="1" applyFont="1"/>
    <xf numFmtId="0" fontId="4" fillId="36" borderId="12" xfId="3" applyFill="1" applyBorder="1"/>
    <xf numFmtId="0" fontId="23" fillId="0" borderId="17" xfId="3" applyFont="1" applyBorder="1"/>
    <xf numFmtId="167" fontId="4" fillId="24" borderId="12" xfId="3" applyNumberFormat="1" applyFill="1" applyBorder="1"/>
    <xf numFmtId="1" fontId="4" fillId="0" borderId="12" xfId="3" applyNumberFormat="1" applyFont="1" applyBorder="1"/>
    <xf numFmtId="44" fontId="0" fillId="0" borderId="0" xfId="133" applyNumberFormat="1" applyFont="1"/>
    <xf numFmtId="167" fontId="0" fillId="0" borderId="17" xfId="0" applyNumberFormat="1" applyBorder="1"/>
    <xf numFmtId="44" fontId="0" fillId="0" borderId="20" xfId="133" applyNumberFormat="1" applyFont="1" applyBorder="1"/>
    <xf numFmtId="0" fontId="42" fillId="0" borderId="0" xfId="0" applyFont="1" applyAlignment="1">
      <alignment vertical="center"/>
    </xf>
    <xf numFmtId="0" fontId="22" fillId="32" borderId="12" xfId="0" applyFont="1" applyFill="1" applyBorder="1" applyAlignment="1">
      <alignment horizontal="center" vertical="center" wrapText="1"/>
    </xf>
    <xf numFmtId="0" fontId="22" fillId="32" borderId="12" xfId="0" applyFont="1" applyFill="1" applyBorder="1" applyAlignment="1">
      <alignment horizontal="left" vertical="center" wrapText="1"/>
    </xf>
    <xf numFmtId="42" fontId="22" fillId="32" borderId="12" xfId="0" applyNumberFormat="1" applyFont="1" applyFill="1" applyBorder="1" applyAlignment="1">
      <alignment horizontal="left" vertical="center" wrapText="1"/>
    </xf>
    <xf numFmtId="169" fontId="22" fillId="32" borderId="12" xfId="133" applyNumberFormat="1" applyFont="1" applyFill="1" applyBorder="1" applyAlignment="1">
      <alignment horizontal="left" vertical="center" wrapText="1"/>
    </xf>
    <xf numFmtId="169" fontId="22" fillId="32" borderId="12" xfId="0" applyNumberFormat="1" applyFont="1" applyFill="1" applyBorder="1" applyAlignment="1">
      <alignment horizontal="left" vertical="center" wrapText="1"/>
    </xf>
    <xf numFmtId="9" fontId="3" fillId="0" borderId="0" xfId="150" applyFont="1"/>
    <xf numFmtId="167" fontId="3" fillId="0" borderId="0" xfId="0" applyNumberFormat="1" applyFont="1"/>
    <xf numFmtId="9" fontId="3" fillId="0" borderId="12" xfId="150" applyFont="1" applyBorder="1"/>
    <xf numFmtId="167" fontId="3" fillId="0" borderId="12" xfId="0" applyNumberFormat="1" applyFont="1" applyBorder="1"/>
    <xf numFmtId="9" fontId="2" fillId="0" borderId="12" xfId="150" applyFont="1" applyBorder="1"/>
    <xf numFmtId="167" fontId="0" fillId="0" borderId="12" xfId="0" applyNumberFormat="1" applyFont="1" applyBorder="1"/>
    <xf numFmtId="167" fontId="3" fillId="0" borderId="17" xfId="0" applyNumberFormat="1" applyFont="1" applyBorder="1"/>
    <xf numFmtId="0" fontId="58" fillId="0" borderId="0" xfId="0" applyFont="1"/>
    <xf numFmtId="10" fontId="58" fillId="0" borderId="0" xfId="0" applyNumberFormat="1" applyFont="1"/>
    <xf numFmtId="0" fontId="3" fillId="0" borderId="12" xfId="0" applyFont="1" applyBorder="1" applyAlignment="1">
      <alignment horizontal="center" vertical="center"/>
    </xf>
    <xf numFmtId="0" fontId="58" fillId="0" borderId="12" xfId="0" applyFont="1" applyBorder="1"/>
    <xf numFmtId="10" fontId="58" fillId="0" borderId="12" xfId="0" applyNumberFormat="1" applyFont="1" applyBorder="1"/>
    <xf numFmtId="49" fontId="0" fillId="30" borderId="30" xfId="0" applyNumberFormat="1" applyFont="1" applyFill="1" applyBorder="1" applyAlignment="1">
      <alignment horizontal="left" vertical="center" wrapText="1"/>
    </xf>
    <xf numFmtId="49" fontId="0" fillId="30" borderId="31" xfId="0" applyNumberFormat="1" applyFont="1" applyFill="1" applyBorder="1" applyAlignment="1">
      <alignment horizontal="left" vertical="center" wrapText="1"/>
    </xf>
    <xf numFmtId="49" fontId="0" fillId="30" borderId="32" xfId="0" applyNumberFormat="1" applyFont="1" applyFill="1" applyBorder="1" applyAlignment="1">
      <alignment horizontal="left" vertical="center" wrapText="1"/>
    </xf>
    <xf numFmtId="0" fontId="52" fillId="24" borderId="33" xfId="0" applyFont="1" applyFill="1" applyBorder="1" applyAlignment="1">
      <alignment horizontal="left" vertical="center"/>
    </xf>
    <xf numFmtId="0" fontId="3" fillId="31" borderId="0" xfId="0" applyFont="1" applyFill="1" applyAlignment="1">
      <alignment horizontal="center" vertical="center"/>
    </xf>
    <xf numFmtId="0" fontId="28" fillId="27" borderId="15" xfId="0" applyFont="1" applyFill="1" applyBorder="1" applyAlignment="1">
      <alignment horizontal="center"/>
    </xf>
    <xf numFmtId="0" fontId="28" fillId="27" borderId="18" xfId="0" applyFont="1" applyFill="1" applyBorder="1" applyAlignment="1">
      <alignment horizontal="center"/>
    </xf>
    <xf numFmtId="0" fontId="40" fillId="27" borderId="10" xfId="0" applyFont="1" applyFill="1" applyBorder="1" applyAlignment="1">
      <alignment horizontal="center"/>
    </xf>
    <xf numFmtId="0" fontId="40" fillId="27" borderId="13" xfId="0" applyFont="1" applyFill="1" applyBorder="1" applyAlignment="1">
      <alignment horizontal="center"/>
    </xf>
    <xf numFmtId="0" fontId="40" fillId="27" borderId="15" xfId="0" applyFont="1" applyFill="1" applyBorder="1" applyAlignment="1">
      <alignment horizontal="center"/>
    </xf>
    <xf numFmtId="0" fontId="40" fillId="27" borderId="18" xfId="0" applyFont="1" applyFill="1" applyBorder="1" applyAlignment="1">
      <alignment horizontal="center"/>
    </xf>
    <xf numFmtId="0" fontId="40" fillId="27" borderId="19" xfId="0" applyFont="1" applyFill="1" applyBorder="1" applyAlignment="1">
      <alignment horizontal="center"/>
    </xf>
    <xf numFmtId="0" fontId="40" fillId="27" borderId="14" xfId="0" applyFont="1" applyFill="1" applyBorder="1" applyAlignment="1">
      <alignment horizontal="center"/>
    </xf>
    <xf numFmtId="0" fontId="23" fillId="0" borderId="10" xfId="55" applyFont="1" applyFill="1" applyBorder="1" applyAlignment="1">
      <alignment horizontal="center"/>
    </xf>
    <xf numFmtId="0" fontId="23" fillId="0" borderId="13" xfId="55" applyFont="1" applyFill="1" applyBorder="1" applyAlignment="1">
      <alignment horizontal="center"/>
    </xf>
    <xf numFmtId="0" fontId="0" fillId="0" borderId="39"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7" xfId="0" applyBorder="1" applyAlignment="1">
      <alignment horizontal="center" vertical="center" wrapText="1"/>
    </xf>
    <xf numFmtId="0" fontId="0" fillId="0" borderId="50" xfId="0" applyBorder="1" applyAlignment="1">
      <alignment horizontal="center" vertical="center" wrapText="1"/>
    </xf>
    <xf numFmtId="0" fontId="0" fillId="0" borderId="54" xfId="0" applyBorder="1" applyAlignment="1">
      <alignment horizontal="center" vertical="center" wrapText="1"/>
    </xf>
    <xf numFmtId="0" fontId="3" fillId="0" borderId="0" xfId="0" applyFont="1" applyAlignment="1">
      <alignment horizontal="center"/>
    </xf>
    <xf numFmtId="0" fontId="0" fillId="0" borderId="0" xfId="0" applyBorder="1" applyAlignment="1">
      <alignment horizontal="left" vertical="center"/>
    </xf>
    <xf numFmtId="0" fontId="5" fillId="0" borderId="0" xfId="0"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0" fontId="0" fillId="0" borderId="0" xfId="0" applyAlignment="1">
      <alignment horizontal="center"/>
    </xf>
  </cellXfs>
  <cellStyles count="154">
    <cellStyle name="_x0013_" xfId="153"/>
    <cellStyle name="20% - Accent1 2" xfId="5"/>
    <cellStyle name="20% - Accent1 3" xfId="56"/>
    <cellStyle name="20% - Accent2 2" xfId="6"/>
    <cellStyle name="20% - Accent2 3" xfId="57"/>
    <cellStyle name="20% - Accent3 2" xfId="7"/>
    <cellStyle name="20% - Accent3 3" xfId="58"/>
    <cellStyle name="20% - Accent4 2" xfId="8"/>
    <cellStyle name="20% - Accent4 3" xfId="59"/>
    <cellStyle name="20% - Accent5 2" xfId="9"/>
    <cellStyle name="20% - Accent5 3" xfId="60"/>
    <cellStyle name="20% - Accent6 2" xfId="10"/>
    <cellStyle name="20% - Accent6 3" xfId="61"/>
    <cellStyle name="40% - Accent1 2" xfId="11"/>
    <cellStyle name="40% - Accent1 3" xfId="62"/>
    <cellStyle name="40% - Accent2 2" xfId="12"/>
    <cellStyle name="40% - Accent2 3" xfId="63"/>
    <cellStyle name="40% - Accent3 2" xfId="13"/>
    <cellStyle name="40% - Accent3 3" xfId="64"/>
    <cellStyle name="40% - Accent4 2" xfId="14"/>
    <cellStyle name="40% - Accent4 3" xfId="65"/>
    <cellStyle name="40% - Accent5 2" xfId="15"/>
    <cellStyle name="40% - Accent5 3" xfId="66"/>
    <cellStyle name="40% - Accent6 2" xfId="16"/>
    <cellStyle name="40% - Accent6 3" xfId="67"/>
    <cellStyle name="60% - Accent1 2" xfId="17"/>
    <cellStyle name="60% - Accent1 3" xfId="68"/>
    <cellStyle name="60% - Accent2 2" xfId="18"/>
    <cellStyle name="60% - Accent2 3" xfId="69"/>
    <cellStyle name="60% - Accent3 2" xfId="19"/>
    <cellStyle name="60% - Accent3 3" xfId="70"/>
    <cellStyle name="60% - Accent4 2" xfId="20"/>
    <cellStyle name="60% - Accent4 3" xfId="71"/>
    <cellStyle name="60% - Accent5 2" xfId="21"/>
    <cellStyle name="60% - Accent5 3" xfId="72"/>
    <cellStyle name="60% - Accent6 2" xfId="22"/>
    <cellStyle name="60% - Accent6 3" xfId="73"/>
    <cellStyle name="Accent1 2" xfId="23"/>
    <cellStyle name="Accent1 3" xfId="74"/>
    <cellStyle name="Accent2 2" xfId="24"/>
    <cellStyle name="Accent2 3" xfId="75"/>
    <cellStyle name="Accent3 2" xfId="25"/>
    <cellStyle name="Accent3 3" xfId="76"/>
    <cellStyle name="Accent4 2" xfId="26"/>
    <cellStyle name="Accent4 3" xfId="77"/>
    <cellStyle name="Accent5 2" xfId="27"/>
    <cellStyle name="Accent5 3" xfId="78"/>
    <cellStyle name="Accent6 2" xfId="28"/>
    <cellStyle name="Accent6 3" xfId="79"/>
    <cellStyle name="Bad 2" xfId="29"/>
    <cellStyle name="Bad 3" xfId="80"/>
    <cellStyle name="Calculation 2" xfId="30"/>
    <cellStyle name="Calculation 2 2" xfId="81"/>
    <cellStyle name="Calculation 3" xfId="82"/>
    <cellStyle name="Calculation 3 2" xfId="83"/>
    <cellStyle name="Check Cell 2" xfId="31"/>
    <cellStyle name="Check Cell 3" xfId="84"/>
    <cellStyle name="Comma" xfId="151" builtinId="3"/>
    <cellStyle name="Comma 2" xfId="4"/>
    <cellStyle name="Comma 2 2" xfId="85"/>
    <cellStyle name="Comma 3" xfId="86"/>
    <cellStyle name="Currency" xfId="133" builtinId="4"/>
    <cellStyle name="Currency 2" xfId="87"/>
    <cellStyle name="Explanatory Text 2" xfId="32"/>
    <cellStyle name="Explanatory Text 3" xfId="88"/>
    <cellStyle name="Good 2" xfId="33"/>
    <cellStyle name="Good 3" xfId="89"/>
    <cellStyle name="Heading 1 2" xfId="34"/>
    <cellStyle name="Heading 1 3" xfId="90"/>
    <cellStyle name="Heading 2 2" xfId="35"/>
    <cellStyle name="Heading 2 3" xfId="91"/>
    <cellStyle name="Heading 3 2" xfId="36"/>
    <cellStyle name="Heading 3 3" xfId="92"/>
    <cellStyle name="Heading 4 2" xfId="37"/>
    <cellStyle name="Heading 4 3" xfId="93"/>
    <cellStyle name="Hyperlink" xfId="134" builtinId="8"/>
    <cellStyle name="Hyperlink 2" xfId="135"/>
    <cellStyle name="Input 2" xfId="38"/>
    <cellStyle name="Input 2 2" xfId="94"/>
    <cellStyle name="Input 3" xfId="95"/>
    <cellStyle name="Input 3 2" xfId="96"/>
    <cellStyle name="Linked Cell 2" xfId="39"/>
    <cellStyle name="Linked Cell 3" xfId="97"/>
    <cellStyle name="Neutral 2" xfId="40"/>
    <cellStyle name="Neutral 3" xfId="98"/>
    <cellStyle name="Normal" xfId="0" builtinId="0"/>
    <cellStyle name="Normal 10" xfId="55"/>
    <cellStyle name="Normal 100" xfId="136"/>
    <cellStyle name="Normal 103" xfId="137"/>
    <cellStyle name="Normal 11" xfId="99"/>
    <cellStyle name="Normal 11 2" xfId="100"/>
    <cellStyle name="Normal 11 3" xfId="101"/>
    <cellStyle name="Normal 12" xfId="102"/>
    <cellStyle name="Normal 13 2 3" xfId="152"/>
    <cellStyle name="Normal 2" xfId="1"/>
    <cellStyle name="Normal 2 2" xfId="54"/>
    <cellStyle name="Normal 2 2 2" xfId="127"/>
    <cellStyle name="Normal 2 2 3" xfId="149"/>
    <cellStyle name="Normal 2 3" xfId="53"/>
    <cellStyle name="Normal 3" xfId="3"/>
    <cellStyle name="Normal 3 2" xfId="103"/>
    <cellStyle name="Normal 4" xfId="41"/>
    <cellStyle name="Normal 4 2" xfId="49"/>
    <cellStyle name="Normal 4 2 2" xfId="104"/>
    <cellStyle name="Normal 4 2 3" xfId="130"/>
    <cellStyle name="Normal 4 3" xfId="105"/>
    <cellStyle name="Normal 4 4" xfId="128"/>
    <cellStyle name="Normal 4_Energy Model" xfId="50"/>
    <cellStyle name="Normal 5" xfId="51"/>
    <cellStyle name="Normal 5 2" xfId="106"/>
    <cellStyle name="Normal 5 3" xfId="131"/>
    <cellStyle name="Normal 6" xfId="107"/>
    <cellStyle name="Normal 6 2" xfId="138"/>
    <cellStyle name="Normal 6 3" xfId="139"/>
    <cellStyle name="Normal 7" xfId="108"/>
    <cellStyle name="Normal 8" xfId="109"/>
    <cellStyle name="Normal 9" xfId="110"/>
    <cellStyle name="Note 2" xfId="42"/>
    <cellStyle name="Note 2 2" xfId="111"/>
    <cellStyle name="Note 3" xfId="112"/>
    <cellStyle name="Note 3 2" xfId="113"/>
    <cellStyle name="Output 2" xfId="43"/>
    <cellStyle name="Output 2 2" xfId="114"/>
    <cellStyle name="Output 3" xfId="115"/>
    <cellStyle name="Output 3 2" xfId="116"/>
    <cellStyle name="Percent" xfId="150" builtinId="5"/>
    <cellStyle name="Percent 2" xfId="2"/>
    <cellStyle name="Percent 2 2" xfId="117"/>
    <cellStyle name="Percent 2 3" xfId="140"/>
    <cellStyle name="Percent 3" xfId="44"/>
    <cellStyle name="Percent 3 2" xfId="118"/>
    <cellStyle name="Percent 4" xfId="45"/>
    <cellStyle name="Percent 4 2" xfId="52"/>
    <cellStyle name="Percent 4 2 2" xfId="119"/>
    <cellStyle name="Percent 4 2 3" xfId="132"/>
    <cellStyle name="Percent 4 3" xfId="120"/>
    <cellStyle name="Percent 4 4" xfId="129"/>
    <cellStyle name="Percent 5" xfId="121"/>
    <cellStyle name="Style 1" xfId="141"/>
    <cellStyle name="Style 1 2" xfId="142"/>
    <cellStyle name="Style 1 2 2" xfId="143"/>
    <cellStyle name="Style 1 3" xfId="144"/>
    <cellStyle name="Style 1 3 2" xfId="145"/>
    <cellStyle name="Style 1 3 3" xfId="146"/>
    <cellStyle name="Style 1 4" xfId="147"/>
    <cellStyle name="Style 1 5" xfId="148"/>
    <cellStyle name="Title 2" xfId="46"/>
    <cellStyle name="Title 3" xfId="122"/>
    <cellStyle name="Total 2" xfId="47"/>
    <cellStyle name="Total 2 2" xfId="123"/>
    <cellStyle name="Total 3" xfId="124"/>
    <cellStyle name="Total 3 2" xfId="125"/>
    <cellStyle name="Warning Text 2" xfId="48"/>
    <cellStyle name="Warning Text 3" xfId="126"/>
  </cellStyles>
  <dxfs count="8">
    <dxf>
      <font>
        <color theme="1"/>
      </font>
      <fill>
        <patternFill patternType="solid">
          <fgColor indexed="64"/>
          <bgColor theme="4" tint="0.59999389629810485"/>
        </patternFill>
      </fill>
    </dxf>
    <dxf>
      <font>
        <color theme="0"/>
      </font>
      <fill>
        <patternFill patternType="solid">
          <fgColor indexed="64"/>
          <bgColor theme="7" tint="-0.499984740745262"/>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auto="1"/>
      </font>
      <fill>
        <patternFill patternType="solid">
          <fgColor indexed="64"/>
          <bgColor theme="6"/>
        </patternFill>
      </fill>
    </dxf>
    <dxf>
      <font>
        <color auto="1"/>
      </font>
      <fill>
        <patternFill patternType="solid">
          <fgColor indexed="64"/>
          <bgColor theme="6" tint="0.39997558519241921"/>
        </patternFill>
      </fill>
    </dxf>
    <dxf>
      <font>
        <color auto="1"/>
      </font>
      <fill>
        <patternFill patternType="solid">
          <fgColor indexed="64"/>
          <bgColor theme="6" tint="0.59999389629810485"/>
        </patternFill>
      </fill>
    </dxf>
    <dxf>
      <font>
        <color theme="0"/>
      </font>
      <fill>
        <patternFill patternType="solid">
          <fgColor indexed="64"/>
          <bgColor theme="7"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Graphs'!$B$2:$E$2</c:f>
              <c:numCache>
                <c:formatCode>General</c:formatCode>
                <c:ptCount val="4"/>
                <c:pt idx="0">
                  <c:v>1</c:v>
                </c:pt>
                <c:pt idx="1">
                  <c:v>10</c:v>
                </c:pt>
                <c:pt idx="2">
                  <c:v>50</c:v>
                </c:pt>
                <c:pt idx="3">
                  <c:v>100</c:v>
                </c:pt>
              </c:numCache>
            </c:numRef>
          </c:cat>
          <c:val>
            <c:numRef>
              <c:f>'Report Tables'!$B$7:$E$7</c:f>
              <c:numCache>
                <c:formatCode>"$"#,##0</c:formatCode>
                <c:ptCount val="4"/>
                <c:pt idx="0">
                  <c:v>4405</c:v>
                </c:pt>
                <c:pt idx="1">
                  <c:v>8109</c:v>
                </c:pt>
                <c:pt idx="2">
                  <c:v>8997</c:v>
                </c:pt>
                <c:pt idx="3">
                  <c:v>8856</c:v>
                </c:pt>
              </c:numCache>
            </c:numRef>
          </c:val>
        </c:ser>
        <c:ser>
          <c:idx val="1"/>
          <c:order val="1"/>
          <c:tx>
            <c:strRef>
              <c:f>'Report Tables'!$A$8</c:f>
              <c:strCache>
                <c:ptCount val="1"/>
                <c:pt idx="0">
                  <c:v>Infrastructure</c:v>
                </c:pt>
              </c:strCache>
            </c:strRef>
          </c:tx>
          <c:invertIfNegative val="0"/>
          <c:cat>
            <c:numRef>
              <c:f>'Report Graphs'!$B$2:$E$2</c:f>
              <c:numCache>
                <c:formatCode>General</c:formatCode>
                <c:ptCount val="4"/>
                <c:pt idx="0">
                  <c:v>1</c:v>
                </c:pt>
                <c:pt idx="1">
                  <c:v>10</c:v>
                </c:pt>
                <c:pt idx="2">
                  <c:v>50</c:v>
                </c:pt>
                <c:pt idx="3">
                  <c:v>100</c:v>
                </c:pt>
              </c:numCache>
            </c:numRef>
          </c:cat>
          <c:val>
            <c:numRef>
              <c:f>'Report Tables'!$B$8:$E$8</c:f>
              <c:numCache>
                <c:formatCode>"$"#,##0</c:formatCode>
                <c:ptCount val="4"/>
                <c:pt idx="0">
                  <c:v>990</c:v>
                </c:pt>
                <c:pt idx="1">
                  <c:v>4860</c:v>
                </c:pt>
                <c:pt idx="2">
                  <c:v>7566</c:v>
                </c:pt>
                <c:pt idx="3">
                  <c:v>17310</c:v>
                </c:pt>
              </c:numCache>
            </c:numRef>
          </c:val>
        </c:ser>
        <c:ser>
          <c:idx val="3"/>
          <c:order val="2"/>
          <c:tx>
            <c:strRef>
              <c:f>'Report Tables'!$A$9</c:f>
              <c:strCache>
                <c:ptCount val="1"/>
                <c:pt idx="0">
                  <c:v>Mooring/Foundation</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Tables'!$B$9:$E$9</c:f>
              <c:numCache>
                <c:formatCode>"$"#,##0</c:formatCode>
                <c:ptCount val="4"/>
                <c:pt idx="0">
                  <c:v>91</c:v>
                </c:pt>
                <c:pt idx="1">
                  <c:v>713</c:v>
                </c:pt>
                <c:pt idx="2">
                  <c:v>3012</c:v>
                </c:pt>
                <c:pt idx="3">
                  <c:v>5602</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Tables'!$B$10:$E$10</c:f>
              <c:numCache>
                <c:formatCode>"$"#,##0</c:formatCode>
                <c:ptCount val="4"/>
                <c:pt idx="0">
                  <c:v>298</c:v>
                </c:pt>
                <c:pt idx="1">
                  <c:v>2070</c:v>
                </c:pt>
                <c:pt idx="2">
                  <c:v>9109</c:v>
                </c:pt>
                <c:pt idx="3">
                  <c:v>17652</c:v>
                </c:pt>
              </c:numCache>
            </c:numRef>
          </c:val>
        </c:ser>
        <c:ser>
          <c:idx val="5"/>
          <c:order val="4"/>
          <c:tx>
            <c:strRef>
              <c:f>'Report Tables'!$A$11</c:f>
              <c:strCache>
                <c:ptCount val="1"/>
                <c:pt idx="0">
                  <c:v>Power Take Off</c:v>
                </c:pt>
              </c:strCache>
            </c:strRef>
          </c:tx>
          <c:invertIfNegative val="0"/>
          <c:cat>
            <c:numRef>
              <c:f>'Report Graphs'!$B$2:$E$2</c:f>
              <c:numCache>
                <c:formatCode>General</c:formatCode>
                <c:ptCount val="4"/>
                <c:pt idx="0">
                  <c:v>1</c:v>
                </c:pt>
                <c:pt idx="1">
                  <c:v>10</c:v>
                </c:pt>
                <c:pt idx="2">
                  <c:v>50</c:v>
                </c:pt>
                <c:pt idx="3">
                  <c:v>100</c:v>
                </c:pt>
              </c:numCache>
            </c:numRef>
          </c:cat>
          <c:val>
            <c:numRef>
              <c:f>'Report Tables'!$B$11:$E$11</c:f>
              <c:numCache>
                <c:formatCode>"$"#,##0</c:formatCode>
                <c:ptCount val="4"/>
                <c:pt idx="0">
                  <c:v>649</c:v>
                </c:pt>
                <c:pt idx="1">
                  <c:v>5070</c:v>
                </c:pt>
                <c:pt idx="2">
                  <c:v>22143</c:v>
                </c:pt>
                <c:pt idx="3">
                  <c:v>42086</c:v>
                </c:pt>
              </c:numCache>
            </c:numRef>
          </c:val>
        </c:ser>
        <c:ser>
          <c:idx val="2"/>
          <c:order val="5"/>
          <c:tx>
            <c:strRef>
              <c:f>'Report Tables'!$A$12</c:f>
              <c:strCache>
                <c:ptCount val="1"/>
                <c:pt idx="0">
                  <c:v>Subsystem Integration &amp; Profit Margin</c:v>
                </c:pt>
              </c:strCache>
            </c:strRef>
          </c:tx>
          <c:invertIfNegative val="0"/>
          <c:cat>
            <c:numRef>
              <c:f>'Report Graphs'!$B$2:$E$2</c:f>
              <c:numCache>
                <c:formatCode>General</c:formatCode>
                <c:ptCount val="4"/>
                <c:pt idx="0">
                  <c:v>1</c:v>
                </c:pt>
                <c:pt idx="1">
                  <c:v>10</c:v>
                </c:pt>
                <c:pt idx="2">
                  <c:v>50</c:v>
                </c:pt>
                <c:pt idx="3">
                  <c:v>100</c:v>
                </c:pt>
              </c:numCache>
            </c:numRef>
          </c:cat>
          <c:val>
            <c:numRef>
              <c:f>'Report Tables'!$B$12:$E$12</c:f>
              <c:numCache>
                <c:formatCode>"$"#,##0</c:formatCode>
                <c:ptCount val="4"/>
                <c:pt idx="0">
                  <c:v>284</c:v>
                </c:pt>
                <c:pt idx="1">
                  <c:v>1428</c:v>
                </c:pt>
                <c:pt idx="2">
                  <c:v>6250</c:v>
                </c:pt>
                <c:pt idx="3">
                  <c:v>11948</c:v>
                </c:pt>
              </c:numCache>
            </c:numRef>
          </c:val>
        </c:ser>
        <c:ser>
          <c:idx val="6"/>
          <c:order val="6"/>
          <c:tx>
            <c:strRef>
              <c:f>'Report Tables'!$A$13</c:f>
              <c:strCache>
                <c:ptCount val="1"/>
                <c:pt idx="0">
                  <c:v>Installation</c:v>
                </c:pt>
              </c:strCache>
            </c:strRef>
          </c:tx>
          <c:invertIfNegative val="0"/>
          <c:cat>
            <c:numRef>
              <c:f>'Report Graphs'!$B$2:$E$2</c:f>
              <c:numCache>
                <c:formatCode>General</c:formatCode>
                <c:ptCount val="4"/>
                <c:pt idx="0">
                  <c:v>1</c:v>
                </c:pt>
                <c:pt idx="1">
                  <c:v>10</c:v>
                </c:pt>
                <c:pt idx="2">
                  <c:v>50</c:v>
                </c:pt>
                <c:pt idx="3">
                  <c:v>100</c:v>
                </c:pt>
              </c:numCache>
            </c:numRef>
          </c:cat>
          <c:val>
            <c:numRef>
              <c:f>'Report Tables'!$B$13:$E$13</c:f>
              <c:numCache>
                <c:formatCode>"$"#,##0</c:formatCode>
                <c:ptCount val="4"/>
                <c:pt idx="0">
                  <c:v>6055</c:v>
                </c:pt>
                <c:pt idx="1">
                  <c:v>10551</c:v>
                </c:pt>
                <c:pt idx="2">
                  <c:v>28876</c:v>
                </c:pt>
                <c:pt idx="3">
                  <c:v>52550</c:v>
                </c:pt>
              </c:numCache>
            </c:numRef>
          </c:val>
        </c:ser>
        <c:ser>
          <c:idx val="7"/>
          <c:order val="7"/>
          <c:tx>
            <c:strRef>
              <c:f>'Report Tables'!$A$14</c:f>
              <c:strCache>
                <c:ptCount val="1"/>
                <c:pt idx="0">
                  <c:v>Contingency</c:v>
                </c:pt>
              </c:strCache>
            </c:strRef>
          </c:tx>
          <c:invertIfNegative val="0"/>
          <c:cat>
            <c:numRef>
              <c:f>'Report Graphs'!$B$2:$E$2</c:f>
              <c:numCache>
                <c:formatCode>General</c:formatCode>
                <c:ptCount val="4"/>
                <c:pt idx="0">
                  <c:v>1</c:v>
                </c:pt>
                <c:pt idx="1">
                  <c:v>10</c:v>
                </c:pt>
                <c:pt idx="2">
                  <c:v>50</c:v>
                </c:pt>
                <c:pt idx="3">
                  <c:v>100</c:v>
                </c:pt>
              </c:numCache>
            </c:numRef>
          </c:cat>
          <c:val>
            <c:numRef>
              <c:f>'Report Tables'!$B$14:$E$14</c:f>
              <c:numCache>
                <c:formatCode>"$"#,##0</c:formatCode>
                <c:ptCount val="4"/>
                <c:pt idx="0">
                  <c:v>1277</c:v>
                </c:pt>
                <c:pt idx="1">
                  <c:v>3280</c:v>
                </c:pt>
                <c:pt idx="2">
                  <c:v>8595</c:v>
                </c:pt>
                <c:pt idx="3">
                  <c:v>15600</c:v>
                </c:pt>
              </c:numCache>
            </c:numRef>
          </c:val>
        </c:ser>
        <c:dLbls>
          <c:showLegendKey val="0"/>
          <c:showVal val="0"/>
          <c:showCatName val="0"/>
          <c:showSerName val="0"/>
          <c:showPercent val="0"/>
          <c:showBubbleSize val="0"/>
        </c:dLbls>
        <c:gapWidth val="150"/>
        <c:overlap val="100"/>
        <c:axId val="325155960"/>
        <c:axId val="325158704"/>
      </c:barChart>
      <c:catAx>
        <c:axId val="325155960"/>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overlay val="0"/>
        </c:title>
        <c:numFmt formatCode="0" sourceLinked="0"/>
        <c:majorTickMark val="out"/>
        <c:minorTickMark val="none"/>
        <c:tickLblPos val="nextTo"/>
        <c:crossAx val="325158704"/>
        <c:crosses val="autoZero"/>
        <c:auto val="1"/>
        <c:lblAlgn val="ctr"/>
        <c:lblOffset val="100"/>
        <c:noMultiLvlLbl val="0"/>
      </c:catAx>
      <c:valAx>
        <c:axId val="325158704"/>
        <c:scaling>
          <c:orientation val="minMax"/>
          <c:min val="0"/>
        </c:scaling>
        <c:delete val="0"/>
        <c:axPos val="l"/>
        <c:majorGridlines>
          <c:spPr>
            <a:ln>
              <a:solidFill>
                <a:schemeClr val="bg1">
                  <a:lumMod val="85000"/>
                </a:schemeClr>
              </a:solidFill>
            </a:ln>
          </c:spPr>
        </c:majorGridlines>
        <c:title>
          <c:tx>
            <c:strRef>
              <c:f>'Report Tables'!$A$4</c:f>
              <c:strCache>
                <c:ptCount val="1"/>
                <c:pt idx="0">
                  <c:v>Total Cost in Thousands ($)</c:v>
                </c:pt>
              </c:strCache>
            </c:strRef>
          </c:tx>
          <c:layout/>
          <c:overlay val="0"/>
          <c:txPr>
            <a:bodyPr rot="-5400000" vert="horz"/>
            <a:lstStyle/>
            <a:p>
              <a:pPr>
                <a:defRPr/>
              </a:pPr>
              <a:endParaRPr lang="en-US"/>
            </a:p>
          </c:txPr>
        </c:title>
        <c:numFmt formatCode="&quot;$&quot;#,##0" sourceLinked="1"/>
        <c:majorTickMark val="out"/>
        <c:minorTickMark val="none"/>
        <c:tickLblPos val="nextTo"/>
        <c:crossAx val="325155960"/>
        <c:crosses val="autoZero"/>
        <c:crossBetween val="between"/>
      </c:valAx>
    </c:plotArea>
    <c:legend>
      <c:legendPos val="r"/>
      <c:layout/>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'[7]Report Graphs'!$B$159:$B$167</c:f>
              <c:numCache>
                <c:formatCode>General</c:formatCode>
                <c:ptCount val="9"/>
                <c:pt idx="0">
                  <c:v>10.390967780483027</c:v>
                </c:pt>
                <c:pt idx="1">
                  <c:v>14.407267528007228</c:v>
                </c:pt>
                <c:pt idx="2">
                  <c:v>19.262078741899987</c:v>
                </c:pt>
                <c:pt idx="3">
                  <c:v>25.014411739257284</c:v>
                </c:pt>
                <c:pt idx="4">
                  <c:v>31.720897876046362</c:v>
                </c:pt>
                <c:pt idx="5">
                  <c:v>39.436100650985487</c:v>
                </c:pt>
                <c:pt idx="6">
                  <c:v>48.212762713551648</c:v>
                </c:pt>
                <c:pt idx="7">
                  <c:v>58.10200605476895</c:v>
                </c:pt>
                <c:pt idx="8">
                  <c:v>69.153497062456466</c:v>
                </c:pt>
              </c:numCache>
            </c:numRef>
          </c:xVal>
          <c:yVal>
            <c:numRef>
              <c:f>'[7]Report Graphs'!$C$159:$C$167</c:f>
              <c:numCache>
                <c:formatCode>General</c:formatCode>
                <c:ptCount val="9"/>
                <c:pt idx="0">
                  <c:v>160.88775532305041</c:v>
                </c:pt>
                <c:pt idx="1">
                  <c:v>126.74104631588072</c:v>
                </c:pt>
                <c:pt idx="2">
                  <c:v>102.5294361140466</c:v>
                </c:pt>
                <c:pt idx="3">
                  <c:v>84.723318178627878</c:v>
                </c:pt>
                <c:pt idx="4">
                  <c:v>71.236024866119209</c:v>
                </c:pt>
                <c:pt idx="5">
                  <c:v>60.768606249673731</c:v>
                </c:pt>
                <c:pt idx="6">
                  <c:v>52.477555643556613</c:v>
                </c:pt>
                <c:pt idx="7">
                  <c:v>45.795451835493438</c:v>
                </c:pt>
                <c:pt idx="8">
                  <c:v>40.329008402648689</c:v>
                </c:pt>
              </c:numCache>
            </c:numRef>
          </c:yVal>
          <c:smooth val="1"/>
        </c:ser>
        <c:dLbls>
          <c:showLegendKey val="0"/>
          <c:showVal val="0"/>
          <c:showCatName val="0"/>
          <c:showSerName val="0"/>
          <c:showPercent val="0"/>
          <c:showBubbleSize val="0"/>
        </c:dLbls>
        <c:axId val="381366448"/>
        <c:axId val="381368800"/>
      </c:scatterChart>
      <c:valAx>
        <c:axId val="381366448"/>
        <c:scaling>
          <c:orientation val="minMax"/>
          <c:min val="1"/>
        </c:scaling>
        <c:delete val="0"/>
        <c:axPos val="b"/>
        <c:majorGridlines>
          <c:spPr>
            <a:ln>
              <a:solidFill>
                <a:schemeClr val="bg1">
                  <a:lumMod val="85000"/>
                </a:schemeClr>
              </a:solidFill>
            </a:ln>
          </c:spPr>
        </c:majorGridlines>
        <c:title>
          <c:tx>
            <c:rich>
              <a:bodyPr/>
              <a:lstStyle/>
              <a:p>
                <a:pPr>
                  <a:defRPr/>
                </a:pPr>
                <a:r>
                  <a:rPr lang="en-US" baseline="0"/>
                  <a:t>Mean </a:t>
                </a:r>
                <a:r>
                  <a:rPr lang="en-US"/>
                  <a:t>Wave Power</a:t>
                </a:r>
                <a:r>
                  <a:rPr lang="en-US" baseline="0"/>
                  <a:t> Density</a:t>
                </a:r>
                <a:r>
                  <a:rPr lang="en-US"/>
                  <a:t> (m/s)</a:t>
                </a:r>
              </a:p>
            </c:rich>
          </c:tx>
          <c:overlay val="0"/>
        </c:title>
        <c:numFmt formatCode="General" sourceLinked="1"/>
        <c:majorTickMark val="out"/>
        <c:minorTickMark val="none"/>
        <c:tickLblPos val="nextTo"/>
        <c:crossAx val="381368800"/>
        <c:crosses val="autoZero"/>
        <c:crossBetween val="midCat"/>
      </c:valAx>
      <c:valAx>
        <c:axId val="381368800"/>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General" sourceLinked="1"/>
        <c:majorTickMark val="out"/>
        <c:minorTickMark val="none"/>
        <c:tickLblPos val="nextTo"/>
        <c:crossAx val="381366448"/>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cap="all" baseline="0">
                <a:effectLst/>
              </a:rPr>
              <a:t>% Improvement over baseline using mpc</a:t>
            </a:r>
            <a:endParaRPr lang="en-US">
              <a:effectLst/>
            </a:endParaRPr>
          </a:p>
        </c:rich>
      </c:tx>
      <c:layout>
        <c:manualLayout>
          <c:xMode val="edge"/>
          <c:yMode val="edge"/>
          <c:x val="0.14183102112235971"/>
          <c:y val="3.33333333333333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731105040441372"/>
          <c:y val="0.22658346456692913"/>
          <c:w val="0.81094256075133453"/>
          <c:h val="0.6427556430446193"/>
        </c:manualLayout>
      </c:layout>
      <c:scatterChart>
        <c:scatterStyle val="lineMarker"/>
        <c:varyColors val="0"/>
        <c:ser>
          <c:idx val="0"/>
          <c:order val="0"/>
          <c:tx>
            <c:v>Hs = 1.25 m</c:v>
          </c:tx>
          <c:spPr>
            <a:ln w="19050" cap="rnd">
              <a:solidFill>
                <a:schemeClr val="accent1"/>
              </a:solidFill>
              <a:round/>
            </a:ln>
            <a:effectLst/>
          </c:spPr>
          <c:marker>
            <c:symbol val="square"/>
            <c:size val="5"/>
            <c:spPr>
              <a:solidFill>
                <a:schemeClr val="accent1"/>
              </a:solidFill>
              <a:ln w="9525">
                <a:solidFill>
                  <a:schemeClr val="accent1"/>
                </a:solidFill>
              </a:ln>
              <a:effectLst/>
            </c:spPr>
          </c:marker>
          <c:xVal>
            <c:numRef>
              <c:f>'Perf Comparison Heaving Buoy'!$L$82:$S$82</c:f>
              <c:numCache>
                <c:formatCode>General</c:formatCode>
                <c:ptCount val="8"/>
                <c:pt idx="0">
                  <c:v>9.86</c:v>
                </c:pt>
                <c:pt idx="1">
                  <c:v>11.02</c:v>
                </c:pt>
                <c:pt idx="2">
                  <c:v>12.18</c:v>
                </c:pt>
                <c:pt idx="3">
                  <c:v>13.34</c:v>
                </c:pt>
                <c:pt idx="4">
                  <c:v>14.499999999999998</c:v>
                </c:pt>
                <c:pt idx="5">
                  <c:v>15.659999999999998</c:v>
                </c:pt>
                <c:pt idx="6">
                  <c:v>16.82</c:v>
                </c:pt>
                <c:pt idx="7">
                  <c:v>17.98</c:v>
                </c:pt>
              </c:numCache>
            </c:numRef>
          </c:xVal>
          <c:yVal>
            <c:numRef>
              <c:f>'Perf Comparison Heaving Buoy'!$L$64:$S$64</c:f>
              <c:numCache>
                <c:formatCode>0%</c:formatCode>
                <c:ptCount val="8"/>
                <c:pt idx="0">
                  <c:v>4.4435421901210859</c:v>
                </c:pt>
                <c:pt idx="1">
                  <c:v>4.5836640997651585</c:v>
                </c:pt>
                <c:pt idx="2">
                  <c:v>4.7082491467736451</c:v>
                </c:pt>
                <c:pt idx="3">
                  <c:v>4.8052879060011051</c:v>
                </c:pt>
                <c:pt idx="4">
                  <c:v>4.9131407534890865</c:v>
                </c:pt>
                <c:pt idx="5">
                  <c:v>5.0743479528187461</c:v>
                </c:pt>
                <c:pt idx="6">
                  <c:v>5.0912351804251985</c:v>
                </c:pt>
                <c:pt idx="7">
                  <c:v>5.1849322802095692</c:v>
                </c:pt>
              </c:numCache>
            </c:numRef>
          </c:yVal>
          <c:smooth val="0"/>
          <c:extLst xmlns:c16r2="http://schemas.microsoft.com/office/drawing/2015/06/chart">
            <c:ext xmlns:c16="http://schemas.microsoft.com/office/drawing/2014/chart" uri="{C3380CC4-5D6E-409C-BE32-E72D297353CC}">
              <c16:uniqueId val="{00000000-B02D-4604-98BB-E99BF8BE8E72}"/>
            </c:ext>
          </c:extLst>
        </c:ser>
        <c:ser>
          <c:idx val="1"/>
          <c:order val="1"/>
          <c:tx>
            <c:v>Hs = 2.25 m</c:v>
          </c:tx>
          <c:spPr>
            <a:ln w="19050" cap="rnd">
              <a:solidFill>
                <a:schemeClr val="accent2"/>
              </a:solidFill>
              <a:round/>
            </a:ln>
            <a:effectLst/>
          </c:spPr>
          <c:marker>
            <c:symbol val="triangle"/>
            <c:size val="5"/>
            <c:spPr>
              <a:solidFill>
                <a:schemeClr val="accent2"/>
              </a:solidFill>
              <a:ln w="9525">
                <a:solidFill>
                  <a:schemeClr val="accent2"/>
                </a:solidFill>
              </a:ln>
              <a:effectLst/>
            </c:spPr>
          </c:marker>
          <c:xVal>
            <c:numRef>
              <c:f>'Perf Comparison Heaving Buoy'!$L$82:$S$82</c:f>
              <c:numCache>
                <c:formatCode>General</c:formatCode>
                <c:ptCount val="8"/>
                <c:pt idx="0">
                  <c:v>9.86</c:v>
                </c:pt>
                <c:pt idx="1">
                  <c:v>11.02</c:v>
                </c:pt>
                <c:pt idx="2">
                  <c:v>12.18</c:v>
                </c:pt>
                <c:pt idx="3">
                  <c:v>13.34</c:v>
                </c:pt>
                <c:pt idx="4">
                  <c:v>14.499999999999998</c:v>
                </c:pt>
                <c:pt idx="5">
                  <c:v>15.659999999999998</c:v>
                </c:pt>
                <c:pt idx="6">
                  <c:v>16.82</c:v>
                </c:pt>
                <c:pt idx="7">
                  <c:v>17.98</c:v>
                </c:pt>
              </c:numCache>
            </c:numRef>
          </c:xVal>
          <c:yVal>
            <c:numRef>
              <c:f>'Perf Comparison Heaving Buoy'!$L$66:$S$66</c:f>
              <c:numCache>
                <c:formatCode>0%</c:formatCode>
                <c:ptCount val="8"/>
                <c:pt idx="0">
                  <c:v>2.6618608144962881</c:v>
                </c:pt>
                <c:pt idx="1">
                  <c:v>2.6983684166942523</c:v>
                </c:pt>
                <c:pt idx="2">
                  <c:v>2.7533889786616483</c:v>
                </c:pt>
                <c:pt idx="3">
                  <c:v>2.7980105724497859</c:v>
                </c:pt>
                <c:pt idx="4">
                  <c:v>2.8383313922624431</c:v>
                </c:pt>
                <c:pt idx="5">
                  <c:v>2.9144377006556792</c:v>
                </c:pt>
                <c:pt idx="6">
                  <c:v>2.909759682446091</c:v>
                </c:pt>
                <c:pt idx="7">
                  <c:v>2.9530656274430571</c:v>
                </c:pt>
              </c:numCache>
            </c:numRef>
          </c:yVal>
          <c:smooth val="0"/>
          <c:extLst xmlns:c16r2="http://schemas.microsoft.com/office/drawing/2015/06/chart">
            <c:ext xmlns:c16="http://schemas.microsoft.com/office/drawing/2014/chart" uri="{C3380CC4-5D6E-409C-BE32-E72D297353CC}">
              <c16:uniqueId val="{00000001-B02D-4604-98BB-E99BF8BE8E72}"/>
            </c:ext>
          </c:extLst>
        </c:ser>
        <c:ser>
          <c:idx val="2"/>
          <c:order val="2"/>
          <c:tx>
            <c:v>Hs = 3.25 m</c:v>
          </c:tx>
          <c:spPr>
            <a:ln w="19050" cap="rnd">
              <a:solidFill>
                <a:schemeClr val="accent3"/>
              </a:solidFill>
              <a:round/>
            </a:ln>
            <a:effectLst/>
          </c:spPr>
          <c:marker>
            <c:symbol val="diamond"/>
            <c:size val="5"/>
            <c:spPr>
              <a:solidFill>
                <a:schemeClr val="accent3"/>
              </a:solidFill>
              <a:ln w="9525">
                <a:solidFill>
                  <a:schemeClr val="accent3"/>
                </a:solidFill>
              </a:ln>
              <a:effectLst/>
            </c:spPr>
          </c:marker>
          <c:xVal>
            <c:numRef>
              <c:f>'Perf Comparison Heaving Buoy'!$L$82:$S$82</c:f>
              <c:numCache>
                <c:formatCode>General</c:formatCode>
                <c:ptCount val="8"/>
                <c:pt idx="0">
                  <c:v>9.86</c:v>
                </c:pt>
                <c:pt idx="1">
                  <c:v>11.02</c:v>
                </c:pt>
                <c:pt idx="2">
                  <c:v>12.18</c:v>
                </c:pt>
                <c:pt idx="3">
                  <c:v>13.34</c:v>
                </c:pt>
                <c:pt idx="4">
                  <c:v>14.499999999999998</c:v>
                </c:pt>
                <c:pt idx="5">
                  <c:v>15.659999999999998</c:v>
                </c:pt>
                <c:pt idx="6">
                  <c:v>16.82</c:v>
                </c:pt>
                <c:pt idx="7">
                  <c:v>17.98</c:v>
                </c:pt>
              </c:numCache>
            </c:numRef>
          </c:xVal>
          <c:yVal>
            <c:numRef>
              <c:f>'Perf Comparison Heaving Buoy'!$L$68:$S$68</c:f>
              <c:numCache>
                <c:formatCode>0%</c:formatCode>
                <c:ptCount val="8"/>
                <c:pt idx="0">
                  <c:v>1.9153784355380459</c:v>
                </c:pt>
                <c:pt idx="1">
                  <c:v>1.9259394619163503</c:v>
                </c:pt>
                <c:pt idx="2">
                  <c:v>1.9579670158673803</c:v>
                </c:pt>
                <c:pt idx="3">
                  <c:v>1.9869280623669554</c:v>
                </c:pt>
                <c:pt idx="4">
                  <c:v>2.0091791780226629</c:v>
                </c:pt>
                <c:pt idx="5">
                  <c:v>2.0558977018088789</c:v>
                </c:pt>
                <c:pt idx="6">
                  <c:v>2.0486095609503683</c:v>
                </c:pt>
                <c:pt idx="7">
                  <c:v>2.078187126252879</c:v>
                </c:pt>
              </c:numCache>
            </c:numRef>
          </c:yVal>
          <c:smooth val="0"/>
          <c:extLst xmlns:c16r2="http://schemas.microsoft.com/office/drawing/2015/06/chart">
            <c:ext xmlns:c16="http://schemas.microsoft.com/office/drawing/2014/chart" uri="{C3380CC4-5D6E-409C-BE32-E72D297353CC}">
              <c16:uniqueId val="{00000002-B02D-4604-98BB-E99BF8BE8E72}"/>
            </c:ext>
          </c:extLst>
        </c:ser>
        <c:ser>
          <c:idx val="3"/>
          <c:order val="3"/>
          <c:tx>
            <c:v>Hs = 4.25 m</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'Perf Comparison Heaving Buoy'!$L$82:$S$82</c:f>
              <c:numCache>
                <c:formatCode>General</c:formatCode>
                <c:ptCount val="8"/>
                <c:pt idx="0">
                  <c:v>9.86</c:v>
                </c:pt>
                <c:pt idx="1">
                  <c:v>11.02</c:v>
                </c:pt>
                <c:pt idx="2">
                  <c:v>12.18</c:v>
                </c:pt>
                <c:pt idx="3">
                  <c:v>13.34</c:v>
                </c:pt>
                <c:pt idx="4">
                  <c:v>14.499999999999998</c:v>
                </c:pt>
                <c:pt idx="5">
                  <c:v>15.659999999999998</c:v>
                </c:pt>
                <c:pt idx="6">
                  <c:v>16.82</c:v>
                </c:pt>
                <c:pt idx="7">
                  <c:v>17.98</c:v>
                </c:pt>
              </c:numCache>
            </c:numRef>
          </c:xVal>
          <c:yVal>
            <c:numRef>
              <c:f>'Perf Comparison Heaving Buoy'!$L$70:$S$70</c:f>
              <c:numCache>
                <c:formatCode>0%</c:formatCode>
                <c:ptCount val="8"/>
                <c:pt idx="0">
                  <c:v>1.6109201722683755</c:v>
                </c:pt>
                <c:pt idx="1">
                  <c:v>1.613288337269503</c:v>
                </c:pt>
                <c:pt idx="2">
                  <c:v>1.6201881988477784</c:v>
                </c:pt>
                <c:pt idx="3">
                  <c:v>1.6006285215894311</c:v>
                </c:pt>
                <c:pt idx="4">
                  <c:v>1.5659781262689909</c:v>
                </c:pt>
                <c:pt idx="5">
                  <c:v>1.5922621391487068</c:v>
                </c:pt>
                <c:pt idx="6">
                  <c:v>1.5781307334668697</c:v>
                </c:pt>
                <c:pt idx="7">
                  <c:v>1.6025636665274658</c:v>
                </c:pt>
              </c:numCache>
            </c:numRef>
          </c:yVal>
          <c:smooth val="0"/>
          <c:extLst xmlns:c16r2="http://schemas.microsoft.com/office/drawing/2015/06/chart">
            <c:ext xmlns:c16="http://schemas.microsoft.com/office/drawing/2014/chart" uri="{C3380CC4-5D6E-409C-BE32-E72D297353CC}">
              <c16:uniqueId val="{00000003-B02D-4604-98BB-E99BF8BE8E72}"/>
            </c:ext>
          </c:extLst>
        </c:ser>
        <c:dLbls>
          <c:showLegendKey val="0"/>
          <c:showVal val="0"/>
          <c:showCatName val="0"/>
          <c:showSerName val="0"/>
          <c:showPercent val="0"/>
          <c:showBubbleSize val="0"/>
        </c:dLbls>
        <c:axId val="381366840"/>
        <c:axId val="381367624"/>
      </c:scatterChart>
      <c:valAx>
        <c:axId val="381366840"/>
        <c:scaling>
          <c:orientation val="minMax"/>
          <c:min val="8"/>
        </c:scaling>
        <c:delete val="0"/>
        <c:axPos val="b"/>
        <c:majorGridlines>
          <c:spPr>
            <a:ln w="317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sz="1100">
                    <a:solidFill>
                      <a:schemeClr val="tx1"/>
                    </a:solidFill>
                  </a:rPr>
                  <a:t>Tp (s)</a:t>
                </a: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81367624"/>
        <c:crosses val="autoZero"/>
        <c:crossBetween val="midCat"/>
      </c:valAx>
      <c:valAx>
        <c:axId val="381367624"/>
        <c:scaling>
          <c:orientation val="minMax"/>
        </c:scaling>
        <c:delete val="0"/>
        <c:axPos val="l"/>
        <c:majorGridlines>
          <c:spPr>
            <a:ln w="317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a:solidFill>
                      <a:schemeClr val="tx1"/>
                    </a:solidFill>
                  </a:rPr>
                  <a:t>PERCENT IMPROVEMENT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81366840"/>
        <c:crosses val="autoZero"/>
        <c:crossBetween val="midCat"/>
      </c:valAx>
      <c:spPr>
        <a:noFill/>
        <a:ln>
          <a:solidFill>
            <a:schemeClr val="tx1"/>
          </a:solidFill>
        </a:ln>
        <a:effectLst/>
      </c:spPr>
    </c:plotArea>
    <c:legend>
      <c:legendPos val="r"/>
      <c:layout>
        <c:manualLayout>
          <c:xMode val="edge"/>
          <c:yMode val="edge"/>
          <c:x val="0.12732390594032889"/>
          <c:y val="0.12245748031496063"/>
          <c:w val="0.83185976752905888"/>
          <c:h val="8.83349081364829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Hs</a:t>
            </a:r>
            <a:r>
              <a:rPr lang="en-US" baseline="0">
                <a:solidFill>
                  <a:schemeClr val="tx1"/>
                </a:solidFill>
              </a:rPr>
              <a:t> = 2.25 m</a:t>
            </a:r>
            <a:endParaRPr lang="en-US">
              <a:solidFill>
                <a:schemeClr val="tx1"/>
              </a:solidFill>
            </a:endParaRPr>
          </a:p>
        </c:rich>
      </c:tx>
      <c:layout>
        <c:manualLayout>
          <c:xMode val="edge"/>
          <c:yMode val="edge"/>
          <c:x val="0.41581220795681884"/>
          <c:y val="4.33604336043360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865132648306946"/>
          <c:y val="0.13832853025936601"/>
          <c:w val="0.80286330472752854"/>
          <c:h val="0.70721126717949878"/>
        </c:manualLayout>
      </c:layout>
      <c:scatterChart>
        <c:scatterStyle val="lineMarker"/>
        <c:varyColors val="0"/>
        <c:ser>
          <c:idx val="0"/>
          <c:order val="0"/>
          <c:tx>
            <c:v>Slow Tuning</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'Perf Comparison Heaving Buoy'!$K$95:$U$95</c:f>
              <c:numCache>
                <c:formatCode>General</c:formatCode>
                <c:ptCount val="11"/>
                <c:pt idx="0">
                  <c:v>7.5399999999999991</c:v>
                </c:pt>
                <c:pt idx="1">
                  <c:v>8.6999999999999993</c:v>
                </c:pt>
                <c:pt idx="2">
                  <c:v>9.86</c:v>
                </c:pt>
                <c:pt idx="3">
                  <c:v>11.02</c:v>
                </c:pt>
                <c:pt idx="4">
                  <c:v>12.18</c:v>
                </c:pt>
                <c:pt idx="5">
                  <c:v>13.34</c:v>
                </c:pt>
                <c:pt idx="6">
                  <c:v>14.499999999999998</c:v>
                </c:pt>
                <c:pt idx="7">
                  <c:v>15.659999999999998</c:v>
                </c:pt>
                <c:pt idx="8">
                  <c:v>16.82</c:v>
                </c:pt>
                <c:pt idx="9">
                  <c:v>17.98</c:v>
                </c:pt>
                <c:pt idx="10">
                  <c:v>19.139999999999997</c:v>
                </c:pt>
              </c:numCache>
            </c:numRef>
          </c:xVal>
          <c:yVal>
            <c:numRef>
              <c:f>'Perf Comparison Heaving Buoy'!$K$96:$U$96</c:f>
              <c:numCache>
                <c:formatCode>0</c:formatCode>
                <c:ptCount val="11"/>
                <c:pt idx="0">
                  <c:v>46.843301292020101</c:v>
                </c:pt>
                <c:pt idx="1">
                  <c:v>52.588635454956297</c:v>
                </c:pt>
                <c:pt idx="2">
                  <c:v>54.899653368810199</c:v>
                </c:pt>
                <c:pt idx="3">
                  <c:v>54.971213357152301</c:v>
                </c:pt>
                <c:pt idx="4">
                  <c:v>54.441737998441901</c:v>
                </c:pt>
                <c:pt idx="5">
                  <c:v>53.042992179227198</c:v>
                </c:pt>
                <c:pt idx="6">
                  <c:v>51.380749195685702</c:v>
                </c:pt>
                <c:pt idx="7">
                  <c:v>49.280639940632703</c:v>
                </c:pt>
                <c:pt idx="8">
                  <c:v>48.465741423182202</c:v>
                </c:pt>
                <c:pt idx="9">
                  <c:v>46.165952441534699</c:v>
                </c:pt>
                <c:pt idx="10">
                  <c:v>44.909245227355598</c:v>
                </c:pt>
              </c:numCache>
            </c:numRef>
          </c:yVal>
          <c:smooth val="0"/>
          <c:extLst xmlns:c16r2="http://schemas.microsoft.com/office/drawing/2015/06/chart">
            <c:ext xmlns:c16="http://schemas.microsoft.com/office/drawing/2014/chart" uri="{C3380CC4-5D6E-409C-BE32-E72D297353CC}">
              <c16:uniqueId val="{00000000-CC6D-4D2D-8A50-A57AF89ED9D8}"/>
            </c:ext>
          </c:extLst>
        </c:ser>
        <c:ser>
          <c:idx val="1"/>
          <c:order val="1"/>
          <c:tx>
            <c:v>MPC</c:v>
          </c:tx>
          <c:spPr>
            <a:ln w="19050" cap="rnd">
              <a:solidFill>
                <a:schemeClr val="accent2"/>
              </a:solidFill>
              <a:round/>
            </a:ln>
            <a:effectLst/>
          </c:spPr>
          <c:marker>
            <c:symbol val="square"/>
            <c:size val="5"/>
            <c:spPr>
              <a:solidFill>
                <a:schemeClr val="accent2"/>
              </a:solidFill>
              <a:ln w="9525">
                <a:solidFill>
                  <a:schemeClr val="accent2"/>
                </a:solidFill>
              </a:ln>
              <a:effectLst/>
            </c:spPr>
          </c:marker>
          <c:xVal>
            <c:numRef>
              <c:f>'Perf Comparison Heaving Buoy'!$K$95:$U$95</c:f>
              <c:numCache>
                <c:formatCode>General</c:formatCode>
                <c:ptCount val="11"/>
                <c:pt idx="0">
                  <c:v>7.5399999999999991</c:v>
                </c:pt>
                <c:pt idx="1">
                  <c:v>8.6999999999999993</c:v>
                </c:pt>
                <c:pt idx="2">
                  <c:v>9.86</c:v>
                </c:pt>
                <c:pt idx="3">
                  <c:v>11.02</c:v>
                </c:pt>
                <c:pt idx="4">
                  <c:v>12.18</c:v>
                </c:pt>
                <c:pt idx="5">
                  <c:v>13.34</c:v>
                </c:pt>
                <c:pt idx="6">
                  <c:v>14.499999999999998</c:v>
                </c:pt>
                <c:pt idx="7">
                  <c:v>15.659999999999998</c:v>
                </c:pt>
                <c:pt idx="8">
                  <c:v>16.82</c:v>
                </c:pt>
                <c:pt idx="9">
                  <c:v>17.98</c:v>
                </c:pt>
                <c:pt idx="10">
                  <c:v>19.139999999999997</c:v>
                </c:pt>
              </c:numCache>
            </c:numRef>
          </c:xVal>
          <c:yVal>
            <c:numRef>
              <c:f>'Perf Comparison Heaving Buoy'!$K$97:$U$97</c:f>
              <c:numCache>
                <c:formatCode>0</c:formatCode>
                <c:ptCount val="11"/>
                <c:pt idx="0">
                  <c:v>122.04986524599801</c:v>
                </c:pt>
                <c:pt idx="1">
                  <c:v>137.94018607622399</c:v>
                </c:pt>
                <c:pt idx="2">
                  <c:v>146.13523603186499</c:v>
                </c:pt>
                <c:pt idx="3">
                  <c:v>148.332585950301</c:v>
                </c:pt>
                <c:pt idx="4">
                  <c:v>149.89928138409499</c:v>
                </c:pt>
                <c:pt idx="5">
                  <c:v>148.41485291184901</c:v>
                </c:pt>
                <c:pt idx="6">
                  <c:v>145.83559340007801</c:v>
                </c:pt>
                <c:pt idx="7">
                  <c:v>143.625354955418</c:v>
                </c:pt>
                <c:pt idx="8">
                  <c:v>141.02366037303301</c:v>
                </c:pt>
                <c:pt idx="9">
                  <c:v>136.33108731326701</c:v>
                </c:pt>
                <c:pt idx="10">
                  <c:v>131.719052921215</c:v>
                </c:pt>
              </c:numCache>
            </c:numRef>
          </c:yVal>
          <c:smooth val="0"/>
          <c:extLst xmlns:c16r2="http://schemas.microsoft.com/office/drawing/2015/06/chart">
            <c:ext xmlns:c16="http://schemas.microsoft.com/office/drawing/2014/chart" uri="{C3380CC4-5D6E-409C-BE32-E72D297353CC}">
              <c16:uniqueId val="{00000001-CC6D-4D2D-8A50-A57AF89ED9D8}"/>
            </c:ext>
          </c:extLst>
        </c:ser>
        <c:dLbls>
          <c:showLegendKey val="0"/>
          <c:showVal val="0"/>
          <c:showCatName val="0"/>
          <c:showSerName val="0"/>
          <c:showPercent val="0"/>
          <c:showBubbleSize val="0"/>
        </c:dLbls>
        <c:axId val="381362528"/>
        <c:axId val="381362920"/>
      </c:scatterChart>
      <c:valAx>
        <c:axId val="381362528"/>
        <c:scaling>
          <c:orientation val="minMax"/>
          <c:min val="6"/>
        </c:scaling>
        <c:delete val="0"/>
        <c:axPos val="b"/>
        <c:majorGridlines>
          <c:spPr>
            <a:ln w="317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Tp</a:t>
                </a:r>
                <a:r>
                  <a:rPr lang="en-US" sz="1200" baseline="0">
                    <a:solidFill>
                      <a:schemeClr val="tx1"/>
                    </a:solidFill>
                  </a:rPr>
                  <a:t> (s)</a:t>
                </a:r>
                <a:endParaRPr lang="en-US" sz="1200">
                  <a:solidFill>
                    <a:schemeClr val="tx1"/>
                  </a:solidFill>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81362920"/>
        <c:crosses val="autoZero"/>
        <c:crossBetween val="midCat"/>
      </c:valAx>
      <c:valAx>
        <c:axId val="381362920"/>
        <c:scaling>
          <c:orientation val="minMax"/>
          <c:max val="200"/>
        </c:scaling>
        <c:delete val="0"/>
        <c:axPos val="l"/>
        <c:majorGridlines>
          <c:spPr>
            <a:ln w="317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Average</a:t>
                </a:r>
                <a:r>
                  <a:rPr lang="en-US" sz="1200" baseline="0">
                    <a:solidFill>
                      <a:schemeClr val="tx1"/>
                    </a:solidFill>
                  </a:rPr>
                  <a:t> Power (kW)</a:t>
                </a:r>
                <a:endParaRPr lang="en-US" sz="1200">
                  <a:solidFill>
                    <a:schemeClr val="tx1"/>
                  </a:solidFill>
                </a:endParaRPr>
              </a:p>
            </c:rich>
          </c:tx>
          <c:layout>
            <c:manualLayout>
              <c:xMode val="edge"/>
              <c:yMode val="edge"/>
              <c:x val="2.5010042618647931E-2"/>
              <c:y val="0.3203682104578426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81362528"/>
        <c:crosses val="autoZero"/>
        <c:crossBetween val="midCat"/>
      </c:valAx>
      <c:spPr>
        <a:noFill/>
        <a:ln>
          <a:solidFill>
            <a:schemeClr val="tx1"/>
          </a:solidFill>
        </a:ln>
        <a:effectLst/>
      </c:spPr>
    </c:plotArea>
    <c:legend>
      <c:legendPos val="r"/>
      <c:layout>
        <c:manualLayout>
          <c:xMode val="edge"/>
          <c:yMode val="edge"/>
          <c:x val="0.73520925679514038"/>
          <c:y val="0.16618575415825182"/>
          <c:w val="0.18352817168882729"/>
          <c:h val="0.13139264948829626"/>
        </c:manualLayout>
      </c:layout>
      <c:overlay val="0"/>
      <c:spPr>
        <a:solidFill>
          <a:schemeClr val="bg1"/>
        </a:solidFill>
        <a:ln>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Hs</a:t>
            </a:r>
            <a:r>
              <a:rPr lang="en-US" baseline="0">
                <a:solidFill>
                  <a:schemeClr val="tx1"/>
                </a:solidFill>
              </a:rPr>
              <a:t> = 1.25 m</a:t>
            </a:r>
            <a:endParaRPr lang="en-US">
              <a:solidFill>
                <a:schemeClr val="tx1"/>
              </a:solidFill>
            </a:endParaRPr>
          </a:p>
        </c:rich>
      </c:tx>
      <c:layout>
        <c:manualLayout>
          <c:xMode val="edge"/>
          <c:yMode val="edge"/>
          <c:x val="0.41581220795681884"/>
          <c:y val="4.33604336043360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865132648306946"/>
          <c:y val="0.13832853025936601"/>
          <c:w val="0.80286330472752854"/>
          <c:h val="0.70721126717949878"/>
        </c:manualLayout>
      </c:layout>
      <c:scatterChart>
        <c:scatterStyle val="lineMarker"/>
        <c:varyColors val="0"/>
        <c:ser>
          <c:idx val="0"/>
          <c:order val="0"/>
          <c:tx>
            <c:v>Slow Tuning</c:v>
          </c:tx>
          <c:spPr>
            <a:ln w="19050" cap="rnd">
              <a:solidFill>
                <a:schemeClr val="accent1"/>
              </a:solidFill>
              <a:round/>
            </a:ln>
            <a:effectLst/>
          </c:spPr>
          <c:marker>
            <c:symbol val="square"/>
            <c:size val="5"/>
            <c:spPr>
              <a:solidFill>
                <a:schemeClr val="accent1"/>
              </a:solidFill>
              <a:ln w="9525">
                <a:solidFill>
                  <a:schemeClr val="accent1"/>
                </a:solidFill>
              </a:ln>
              <a:effectLst/>
            </c:spPr>
          </c:marker>
          <c:xVal>
            <c:numRef>
              <c:f>'Perf Comparison Heaving Buoy'!$I$88:$T$88</c:f>
              <c:numCache>
                <c:formatCode>General</c:formatCode>
                <c:ptCount val="12"/>
                <c:pt idx="0">
                  <c:v>5.22</c:v>
                </c:pt>
                <c:pt idx="1">
                  <c:v>6.38</c:v>
                </c:pt>
                <c:pt idx="2">
                  <c:v>7.5399999999999991</c:v>
                </c:pt>
                <c:pt idx="3">
                  <c:v>8.6999999999999993</c:v>
                </c:pt>
                <c:pt idx="4">
                  <c:v>9.86</c:v>
                </c:pt>
                <c:pt idx="5">
                  <c:v>11.02</c:v>
                </c:pt>
                <c:pt idx="6">
                  <c:v>12.18</c:v>
                </c:pt>
                <c:pt idx="7">
                  <c:v>13.34</c:v>
                </c:pt>
                <c:pt idx="8">
                  <c:v>14.499999999999998</c:v>
                </c:pt>
                <c:pt idx="9">
                  <c:v>15.659999999999998</c:v>
                </c:pt>
                <c:pt idx="10">
                  <c:v>16.82</c:v>
                </c:pt>
                <c:pt idx="11">
                  <c:v>17.98</c:v>
                </c:pt>
              </c:numCache>
            </c:numRef>
          </c:xVal>
          <c:yVal>
            <c:numRef>
              <c:f>'Perf Comparison Heaving Buoy'!$I$89:$T$89</c:f>
              <c:numCache>
                <c:formatCode>0</c:formatCode>
                <c:ptCount val="12"/>
                <c:pt idx="0">
                  <c:v>9.8675396122092902</c:v>
                </c:pt>
                <c:pt idx="1">
                  <c:v>12.7179841463591</c:v>
                </c:pt>
                <c:pt idx="2">
                  <c:v>14.457809040747</c:v>
                </c:pt>
                <c:pt idx="3">
                  <c:v>16.231060325603799</c:v>
                </c:pt>
                <c:pt idx="4">
                  <c:v>16.944337459509299</c:v>
                </c:pt>
                <c:pt idx="5">
                  <c:v>16.966423875664301</c:v>
                </c:pt>
                <c:pt idx="6">
                  <c:v>16.803005555074598</c:v>
                </c:pt>
                <c:pt idx="7">
                  <c:v>16.371293882477499</c:v>
                </c:pt>
                <c:pt idx="8">
                  <c:v>15.858255924594401</c:v>
                </c:pt>
                <c:pt idx="9">
                  <c:v>15.2100740557508</c:v>
                </c:pt>
                <c:pt idx="10">
                  <c:v>14.9585621676489</c:v>
                </c:pt>
                <c:pt idx="11">
                  <c:v>14.248750753560101</c:v>
                </c:pt>
              </c:numCache>
            </c:numRef>
          </c:yVal>
          <c:smooth val="0"/>
          <c:extLst xmlns:c16r2="http://schemas.microsoft.com/office/drawing/2015/06/chart">
            <c:ext xmlns:c16="http://schemas.microsoft.com/office/drawing/2014/chart" uri="{C3380CC4-5D6E-409C-BE32-E72D297353CC}">
              <c16:uniqueId val="{00000000-0D16-4D94-B5BB-6604230F4341}"/>
            </c:ext>
          </c:extLst>
        </c:ser>
        <c:ser>
          <c:idx val="1"/>
          <c:order val="1"/>
          <c:tx>
            <c:v>MPC</c:v>
          </c:tx>
          <c:spPr>
            <a:ln w="19050" cap="rnd">
              <a:solidFill>
                <a:schemeClr val="accent2"/>
              </a:solidFill>
              <a:round/>
            </a:ln>
            <a:effectLst/>
          </c:spPr>
          <c:marker>
            <c:symbol val="square"/>
            <c:size val="5"/>
            <c:spPr>
              <a:solidFill>
                <a:schemeClr val="accent2"/>
              </a:solidFill>
              <a:ln w="9525">
                <a:solidFill>
                  <a:schemeClr val="accent2"/>
                </a:solidFill>
              </a:ln>
              <a:effectLst/>
            </c:spPr>
          </c:marker>
          <c:xVal>
            <c:numRef>
              <c:f>'Perf Comparison Heaving Buoy'!$I$88:$T$88</c:f>
              <c:numCache>
                <c:formatCode>General</c:formatCode>
                <c:ptCount val="12"/>
                <c:pt idx="0">
                  <c:v>5.22</c:v>
                </c:pt>
                <c:pt idx="1">
                  <c:v>6.38</c:v>
                </c:pt>
                <c:pt idx="2">
                  <c:v>7.5399999999999991</c:v>
                </c:pt>
                <c:pt idx="3">
                  <c:v>8.6999999999999993</c:v>
                </c:pt>
                <c:pt idx="4">
                  <c:v>9.86</c:v>
                </c:pt>
                <c:pt idx="5">
                  <c:v>11.02</c:v>
                </c:pt>
                <c:pt idx="6">
                  <c:v>12.18</c:v>
                </c:pt>
                <c:pt idx="7">
                  <c:v>13.34</c:v>
                </c:pt>
                <c:pt idx="8">
                  <c:v>14.499999999999998</c:v>
                </c:pt>
                <c:pt idx="9">
                  <c:v>15.659999999999998</c:v>
                </c:pt>
                <c:pt idx="10">
                  <c:v>16.82</c:v>
                </c:pt>
                <c:pt idx="11">
                  <c:v>17.98</c:v>
                </c:pt>
              </c:numCache>
            </c:numRef>
          </c:xVal>
          <c:yVal>
            <c:numRef>
              <c:f>'Perf Comparison Heaving Buoy'!$I$90:$T$90</c:f>
              <c:numCache>
                <c:formatCode>0</c:formatCode>
                <c:ptCount val="12"/>
                <c:pt idx="0">
                  <c:v>15.752095674966601</c:v>
                </c:pt>
                <c:pt idx="1">
                  <c:v>37.289260041215698</c:v>
                </c:pt>
                <c:pt idx="2">
                  <c:v>56.440453929142599</c:v>
                </c:pt>
                <c:pt idx="3">
                  <c:v>68.683936877346198</c:v>
                </c:pt>
                <c:pt idx="4">
                  <c:v>75.292878384978707</c:v>
                </c:pt>
                <c:pt idx="5">
                  <c:v>77.768388020280895</c:v>
                </c:pt>
                <c:pt idx="6">
                  <c:v>79.112736567912805</c:v>
                </c:pt>
                <c:pt idx="7">
                  <c:v>78.668780499058997</c:v>
                </c:pt>
                <c:pt idx="8">
                  <c:v>77.913843462384506</c:v>
                </c:pt>
                <c:pt idx="9">
                  <c:v>77.181208147020598</c:v>
                </c:pt>
                <c:pt idx="10">
                  <c:v>76.157557956511496</c:v>
                </c:pt>
                <c:pt idx="11">
                  <c:v>73.878807734794194</c:v>
                </c:pt>
              </c:numCache>
            </c:numRef>
          </c:yVal>
          <c:smooth val="0"/>
          <c:extLst xmlns:c16r2="http://schemas.microsoft.com/office/drawing/2015/06/chart">
            <c:ext xmlns:c16="http://schemas.microsoft.com/office/drawing/2014/chart" uri="{C3380CC4-5D6E-409C-BE32-E72D297353CC}">
              <c16:uniqueId val="{00000001-0D16-4D94-B5BB-6604230F4341}"/>
            </c:ext>
          </c:extLst>
        </c:ser>
        <c:dLbls>
          <c:showLegendKey val="0"/>
          <c:showVal val="0"/>
          <c:showCatName val="0"/>
          <c:showSerName val="0"/>
          <c:showPercent val="0"/>
          <c:showBubbleSize val="0"/>
        </c:dLbls>
        <c:axId val="381367232"/>
        <c:axId val="381363312"/>
      </c:scatterChart>
      <c:valAx>
        <c:axId val="381367232"/>
        <c:scaling>
          <c:orientation val="minMax"/>
          <c:min val="4"/>
        </c:scaling>
        <c:delete val="0"/>
        <c:axPos val="b"/>
        <c:majorGridlines>
          <c:spPr>
            <a:ln w="317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Tp</a:t>
                </a:r>
                <a:r>
                  <a:rPr lang="en-US" sz="1200" baseline="0">
                    <a:solidFill>
                      <a:schemeClr val="tx1"/>
                    </a:solidFill>
                  </a:rPr>
                  <a:t> (s)</a:t>
                </a:r>
                <a:endParaRPr lang="en-US" sz="1200">
                  <a:solidFill>
                    <a:schemeClr val="tx1"/>
                  </a:solidFill>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81363312"/>
        <c:crosses val="autoZero"/>
        <c:crossBetween val="midCat"/>
      </c:valAx>
      <c:valAx>
        <c:axId val="381363312"/>
        <c:scaling>
          <c:orientation val="minMax"/>
          <c:max val="120"/>
        </c:scaling>
        <c:delete val="0"/>
        <c:axPos val="l"/>
        <c:majorGridlines>
          <c:spPr>
            <a:ln w="317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Average</a:t>
                </a:r>
                <a:r>
                  <a:rPr lang="en-US" sz="1200" baseline="0">
                    <a:solidFill>
                      <a:schemeClr val="tx1"/>
                    </a:solidFill>
                  </a:rPr>
                  <a:t> Power (kW)</a:t>
                </a:r>
                <a:endParaRPr lang="en-US" sz="1200">
                  <a:solidFill>
                    <a:schemeClr val="tx1"/>
                  </a:solidFill>
                </a:endParaRPr>
              </a:p>
            </c:rich>
          </c:tx>
          <c:layout>
            <c:manualLayout>
              <c:xMode val="edge"/>
              <c:yMode val="edge"/>
              <c:x val="2.5010042618647931E-2"/>
              <c:y val="0.3203682104578426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81367232"/>
        <c:crosses val="autoZero"/>
        <c:crossBetween val="midCat"/>
      </c:valAx>
      <c:spPr>
        <a:noFill/>
        <a:ln>
          <a:solidFill>
            <a:schemeClr val="tx1"/>
          </a:solidFill>
        </a:ln>
        <a:effectLst/>
      </c:spPr>
    </c:plotArea>
    <c:legend>
      <c:legendPos val="r"/>
      <c:layout>
        <c:manualLayout>
          <c:xMode val="edge"/>
          <c:yMode val="edge"/>
          <c:x val="0.73520925679514038"/>
          <c:y val="0.16618575415825182"/>
          <c:w val="0.18352817168882729"/>
          <c:h val="0.13139264948829626"/>
        </c:manualLayout>
      </c:layout>
      <c:overlay val="0"/>
      <c:spPr>
        <a:solidFill>
          <a:schemeClr val="bg1"/>
        </a:solidFill>
        <a:ln>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Hs</a:t>
            </a:r>
            <a:r>
              <a:rPr lang="en-US" baseline="0">
                <a:solidFill>
                  <a:schemeClr val="tx1"/>
                </a:solidFill>
              </a:rPr>
              <a:t> = 3.25 m</a:t>
            </a:r>
            <a:endParaRPr lang="en-US">
              <a:solidFill>
                <a:schemeClr val="tx1"/>
              </a:solidFill>
            </a:endParaRPr>
          </a:p>
        </c:rich>
      </c:tx>
      <c:layout>
        <c:manualLayout>
          <c:xMode val="edge"/>
          <c:yMode val="edge"/>
          <c:x val="0.41581220795681884"/>
          <c:y val="4.33604336043360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865132648306946"/>
          <c:y val="0.13832853025936601"/>
          <c:w val="0.80286330472752854"/>
          <c:h val="0.70721126717949878"/>
        </c:manualLayout>
      </c:layout>
      <c:scatterChart>
        <c:scatterStyle val="lineMarker"/>
        <c:varyColors val="0"/>
        <c:ser>
          <c:idx val="0"/>
          <c:order val="0"/>
          <c:tx>
            <c:v>Slow Tuning</c:v>
          </c:tx>
          <c:spPr>
            <a:ln w="19050" cap="rnd">
              <a:solidFill>
                <a:schemeClr val="accent1"/>
              </a:solidFill>
              <a:round/>
            </a:ln>
            <a:effectLst/>
          </c:spPr>
          <c:marker>
            <c:symbol val="square"/>
            <c:size val="5"/>
            <c:spPr>
              <a:solidFill>
                <a:schemeClr val="accent1"/>
              </a:solidFill>
              <a:ln w="9525">
                <a:solidFill>
                  <a:schemeClr val="accent1"/>
                </a:solidFill>
              </a:ln>
              <a:effectLst/>
            </c:spPr>
          </c:marker>
          <c:xVal>
            <c:numRef>
              <c:f>'Perf Comparison Heaving Buoy'!$L$102:$W$102</c:f>
              <c:numCache>
                <c:formatCode>General</c:formatCode>
                <c:ptCount val="12"/>
                <c:pt idx="0">
                  <c:v>8.6999999999999993</c:v>
                </c:pt>
                <c:pt idx="1">
                  <c:v>9.86</c:v>
                </c:pt>
                <c:pt idx="2">
                  <c:v>11.02</c:v>
                </c:pt>
                <c:pt idx="3">
                  <c:v>12.18</c:v>
                </c:pt>
                <c:pt idx="4">
                  <c:v>13.34</c:v>
                </c:pt>
                <c:pt idx="5">
                  <c:v>14.499999999999998</c:v>
                </c:pt>
                <c:pt idx="6">
                  <c:v>15.659999999999998</c:v>
                </c:pt>
                <c:pt idx="7">
                  <c:v>16.82</c:v>
                </c:pt>
                <c:pt idx="8">
                  <c:v>17.98</c:v>
                </c:pt>
                <c:pt idx="9">
                  <c:v>19.139999999999997</c:v>
                </c:pt>
                <c:pt idx="10">
                  <c:v>20.299999999999997</c:v>
                </c:pt>
                <c:pt idx="11">
                  <c:v>21.459999999999997</c:v>
                </c:pt>
              </c:numCache>
            </c:numRef>
          </c:xVal>
          <c:yVal>
            <c:numRef>
              <c:f>'Perf Comparison Heaving Buoy'!$L$103:$W$103</c:f>
              <c:numCache>
                <c:formatCode>0</c:formatCode>
                <c:ptCount val="12"/>
                <c:pt idx="0">
                  <c:v>109.721967801082</c:v>
                </c:pt>
                <c:pt idx="1">
                  <c:v>114.543721226283</c:v>
                </c:pt>
                <c:pt idx="2">
                  <c:v>114.69302539949101</c:v>
                </c:pt>
                <c:pt idx="3">
                  <c:v>113.588317552305</c:v>
                </c:pt>
                <c:pt idx="4">
                  <c:v>110.669946645549</c:v>
                </c:pt>
                <c:pt idx="5">
                  <c:v>107.201810050258</c:v>
                </c:pt>
                <c:pt idx="6">
                  <c:v>102.820100616875</c:v>
                </c:pt>
                <c:pt idx="7">
                  <c:v>101.11988025330599</c:v>
                </c:pt>
                <c:pt idx="8">
                  <c:v>96.321555094066298</c:v>
                </c:pt>
                <c:pt idx="9">
                  <c:v>93.699536338556499</c:v>
                </c:pt>
                <c:pt idx="10">
                  <c:v>76.593839976416703</c:v>
                </c:pt>
                <c:pt idx="11">
                  <c:v>64.907576258917899</c:v>
                </c:pt>
              </c:numCache>
            </c:numRef>
          </c:yVal>
          <c:smooth val="0"/>
          <c:extLst xmlns:c16r2="http://schemas.microsoft.com/office/drawing/2015/06/chart">
            <c:ext xmlns:c16="http://schemas.microsoft.com/office/drawing/2014/chart" uri="{C3380CC4-5D6E-409C-BE32-E72D297353CC}">
              <c16:uniqueId val="{00000000-966F-44A2-BBED-B1CE93FB139A}"/>
            </c:ext>
          </c:extLst>
        </c:ser>
        <c:ser>
          <c:idx val="1"/>
          <c:order val="1"/>
          <c:tx>
            <c:v>MPC</c:v>
          </c:tx>
          <c:spPr>
            <a:ln w="19050" cap="rnd">
              <a:solidFill>
                <a:schemeClr val="accent2"/>
              </a:solidFill>
              <a:round/>
            </a:ln>
            <a:effectLst/>
          </c:spPr>
          <c:marker>
            <c:symbol val="square"/>
            <c:size val="5"/>
            <c:spPr>
              <a:solidFill>
                <a:schemeClr val="accent2"/>
              </a:solidFill>
              <a:ln w="9525">
                <a:solidFill>
                  <a:schemeClr val="accent2"/>
                </a:solidFill>
              </a:ln>
              <a:effectLst/>
            </c:spPr>
          </c:marker>
          <c:xVal>
            <c:numRef>
              <c:f>'Perf Comparison Heaving Buoy'!$L$102:$W$102</c:f>
              <c:numCache>
                <c:formatCode>General</c:formatCode>
                <c:ptCount val="12"/>
                <c:pt idx="0">
                  <c:v>8.6999999999999993</c:v>
                </c:pt>
                <c:pt idx="1">
                  <c:v>9.86</c:v>
                </c:pt>
                <c:pt idx="2">
                  <c:v>11.02</c:v>
                </c:pt>
                <c:pt idx="3">
                  <c:v>12.18</c:v>
                </c:pt>
                <c:pt idx="4">
                  <c:v>13.34</c:v>
                </c:pt>
                <c:pt idx="5">
                  <c:v>14.499999999999998</c:v>
                </c:pt>
                <c:pt idx="6">
                  <c:v>15.659999999999998</c:v>
                </c:pt>
                <c:pt idx="7">
                  <c:v>16.82</c:v>
                </c:pt>
                <c:pt idx="8">
                  <c:v>17.98</c:v>
                </c:pt>
                <c:pt idx="9">
                  <c:v>19.139999999999997</c:v>
                </c:pt>
                <c:pt idx="10">
                  <c:v>20.299999999999997</c:v>
                </c:pt>
                <c:pt idx="11">
                  <c:v>21.459999999999997</c:v>
                </c:pt>
              </c:numCache>
            </c:numRef>
          </c:xVal>
          <c:yVal>
            <c:numRef>
              <c:f>'Perf Comparison Heaving Buoy'!$L$104:$W$104</c:f>
              <c:numCache>
                <c:formatCode>0</c:formatCode>
                <c:ptCount val="12"/>
                <c:pt idx="0">
                  <c:v>210.98675089586601</c:v>
                </c:pt>
                <c:pt idx="1">
                  <c:v>219.39457356310399</c:v>
                </c:pt>
                <c:pt idx="2">
                  <c:v>220.891823623454</c:v>
                </c:pt>
                <c:pt idx="3">
                  <c:v>222.40217915528299</c:v>
                </c:pt>
                <c:pt idx="4">
                  <c:v>219.89322265069501</c:v>
                </c:pt>
                <c:pt idx="5">
                  <c:v>215.387644599319</c:v>
                </c:pt>
                <c:pt idx="6">
                  <c:v>211.387608557991</c:v>
                </c:pt>
                <c:pt idx="7">
                  <c:v>207.155153489079</c:v>
                </c:pt>
                <c:pt idx="8">
                  <c:v>200.174215777146</c:v>
                </c:pt>
                <c:pt idx="9">
                  <c:v>193.16938232572599</c:v>
                </c:pt>
                <c:pt idx="10">
                  <c:v>185.35223625616999</c:v>
                </c:pt>
                <c:pt idx="11">
                  <c:v>178.12199387370899</c:v>
                </c:pt>
              </c:numCache>
            </c:numRef>
          </c:yVal>
          <c:smooth val="0"/>
          <c:extLst xmlns:c16r2="http://schemas.microsoft.com/office/drawing/2015/06/chart">
            <c:ext xmlns:c16="http://schemas.microsoft.com/office/drawing/2014/chart" uri="{C3380CC4-5D6E-409C-BE32-E72D297353CC}">
              <c16:uniqueId val="{00000001-966F-44A2-BBED-B1CE93FB139A}"/>
            </c:ext>
          </c:extLst>
        </c:ser>
        <c:dLbls>
          <c:showLegendKey val="0"/>
          <c:showVal val="0"/>
          <c:showCatName val="0"/>
          <c:showSerName val="0"/>
          <c:showPercent val="0"/>
          <c:showBubbleSize val="0"/>
        </c:dLbls>
        <c:axId val="381364096"/>
        <c:axId val="381364488"/>
      </c:scatterChart>
      <c:valAx>
        <c:axId val="381364096"/>
        <c:scaling>
          <c:orientation val="minMax"/>
          <c:min val="6"/>
        </c:scaling>
        <c:delete val="0"/>
        <c:axPos val="b"/>
        <c:majorGridlines>
          <c:spPr>
            <a:ln w="317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Tp</a:t>
                </a:r>
                <a:r>
                  <a:rPr lang="en-US" sz="1200" baseline="0">
                    <a:solidFill>
                      <a:schemeClr val="tx1"/>
                    </a:solidFill>
                  </a:rPr>
                  <a:t> (s)</a:t>
                </a:r>
                <a:endParaRPr lang="en-US" sz="1200">
                  <a:solidFill>
                    <a:schemeClr val="tx1"/>
                  </a:solidFill>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81364488"/>
        <c:crosses val="autoZero"/>
        <c:crossBetween val="midCat"/>
      </c:valAx>
      <c:valAx>
        <c:axId val="381364488"/>
        <c:scaling>
          <c:orientation val="minMax"/>
          <c:max val="300"/>
        </c:scaling>
        <c:delete val="0"/>
        <c:axPos val="l"/>
        <c:majorGridlines>
          <c:spPr>
            <a:ln w="317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Average</a:t>
                </a:r>
                <a:r>
                  <a:rPr lang="en-US" sz="1200" baseline="0">
                    <a:solidFill>
                      <a:schemeClr val="tx1"/>
                    </a:solidFill>
                  </a:rPr>
                  <a:t> Power (kW)</a:t>
                </a:r>
                <a:endParaRPr lang="en-US" sz="1200">
                  <a:solidFill>
                    <a:schemeClr val="tx1"/>
                  </a:solidFill>
                </a:endParaRPr>
              </a:p>
            </c:rich>
          </c:tx>
          <c:layout>
            <c:manualLayout>
              <c:xMode val="edge"/>
              <c:yMode val="edge"/>
              <c:x val="2.5010042618647931E-2"/>
              <c:y val="0.3203682104578426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81364096"/>
        <c:crosses val="autoZero"/>
        <c:crossBetween val="midCat"/>
      </c:valAx>
      <c:spPr>
        <a:noFill/>
        <a:ln>
          <a:solidFill>
            <a:schemeClr val="tx1"/>
          </a:solidFill>
        </a:ln>
        <a:effectLst/>
      </c:spPr>
    </c:plotArea>
    <c:legend>
      <c:legendPos val="r"/>
      <c:layout>
        <c:manualLayout>
          <c:xMode val="edge"/>
          <c:yMode val="edge"/>
          <c:x val="0.73520925679514038"/>
          <c:y val="0.16618575415825182"/>
          <c:w val="0.18352817168882729"/>
          <c:h val="0.13139264948829626"/>
        </c:manualLayout>
      </c:layout>
      <c:overlay val="0"/>
      <c:spPr>
        <a:solidFill>
          <a:schemeClr val="bg1"/>
        </a:solidFill>
        <a:ln>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56338227991769"/>
          <c:y val="7.4770247884707972E-2"/>
          <c:w val="0.81769933319145915"/>
          <c:h val="0.79119519977728736"/>
        </c:manualLayout>
      </c:layout>
      <c:scatterChart>
        <c:scatterStyle val="lineMarker"/>
        <c:varyColors val="0"/>
        <c:ser>
          <c:idx val="0"/>
          <c:order val="0"/>
          <c:tx>
            <c:v>Hs = 1.25 m</c:v>
          </c:tx>
          <c:spPr>
            <a:ln w="19050" cap="rnd">
              <a:solidFill>
                <a:schemeClr val="accent1"/>
              </a:solidFill>
              <a:round/>
            </a:ln>
            <a:effectLst/>
          </c:spPr>
          <c:marker>
            <c:symbol val="square"/>
            <c:size val="5"/>
            <c:spPr>
              <a:solidFill>
                <a:schemeClr val="accent1"/>
              </a:solidFill>
              <a:ln w="9525">
                <a:solidFill>
                  <a:schemeClr val="accent1"/>
                </a:solidFill>
              </a:ln>
              <a:effectLst/>
            </c:spPr>
          </c:marker>
          <c:xVal>
            <c:numRef>
              <c:f>'Perf Comparison Heaving Buoy'!$L$82:$S$82</c:f>
              <c:numCache>
                <c:formatCode>General</c:formatCode>
                <c:ptCount val="8"/>
                <c:pt idx="0">
                  <c:v>9.86</c:v>
                </c:pt>
                <c:pt idx="1">
                  <c:v>11.02</c:v>
                </c:pt>
                <c:pt idx="2">
                  <c:v>12.18</c:v>
                </c:pt>
                <c:pt idx="3">
                  <c:v>13.34</c:v>
                </c:pt>
                <c:pt idx="4">
                  <c:v>14.499999999999998</c:v>
                </c:pt>
                <c:pt idx="5">
                  <c:v>15.659999999999998</c:v>
                </c:pt>
                <c:pt idx="6">
                  <c:v>16.82</c:v>
                </c:pt>
                <c:pt idx="7">
                  <c:v>17.98</c:v>
                </c:pt>
              </c:numCache>
            </c:numRef>
          </c:xVal>
          <c:yVal>
            <c:numRef>
              <c:f>'Perf Comparison Heaving Buoy'!$L$64:$S$64</c:f>
              <c:numCache>
                <c:formatCode>0%</c:formatCode>
                <c:ptCount val="8"/>
                <c:pt idx="0">
                  <c:v>4.4435421901210859</c:v>
                </c:pt>
                <c:pt idx="1">
                  <c:v>4.5836640997651585</c:v>
                </c:pt>
                <c:pt idx="2">
                  <c:v>4.7082491467736451</c:v>
                </c:pt>
                <c:pt idx="3">
                  <c:v>4.8052879060011051</c:v>
                </c:pt>
                <c:pt idx="4">
                  <c:v>4.9131407534890865</c:v>
                </c:pt>
                <c:pt idx="5">
                  <c:v>5.0743479528187461</c:v>
                </c:pt>
                <c:pt idx="6">
                  <c:v>5.0912351804251985</c:v>
                </c:pt>
                <c:pt idx="7">
                  <c:v>5.1849322802095692</c:v>
                </c:pt>
              </c:numCache>
            </c:numRef>
          </c:yVal>
          <c:smooth val="0"/>
          <c:extLst xmlns:c16r2="http://schemas.microsoft.com/office/drawing/2015/06/chart">
            <c:ext xmlns:c16="http://schemas.microsoft.com/office/drawing/2014/chart" uri="{C3380CC4-5D6E-409C-BE32-E72D297353CC}">
              <c16:uniqueId val="{00000000-B02D-4604-98BB-E99BF8BE8E72}"/>
            </c:ext>
          </c:extLst>
        </c:ser>
        <c:ser>
          <c:idx val="1"/>
          <c:order val="1"/>
          <c:tx>
            <c:v>Hs = 2.25 m</c:v>
          </c:tx>
          <c:spPr>
            <a:ln w="19050" cap="rnd">
              <a:solidFill>
                <a:schemeClr val="accent2"/>
              </a:solidFill>
              <a:round/>
            </a:ln>
            <a:effectLst/>
          </c:spPr>
          <c:marker>
            <c:symbol val="triangle"/>
            <c:size val="5"/>
            <c:spPr>
              <a:solidFill>
                <a:schemeClr val="accent2"/>
              </a:solidFill>
              <a:ln w="9525">
                <a:solidFill>
                  <a:schemeClr val="accent2"/>
                </a:solidFill>
              </a:ln>
              <a:effectLst/>
            </c:spPr>
          </c:marker>
          <c:xVal>
            <c:numRef>
              <c:f>'Perf Comparison Heaving Buoy'!$L$82:$S$82</c:f>
              <c:numCache>
                <c:formatCode>General</c:formatCode>
                <c:ptCount val="8"/>
                <c:pt idx="0">
                  <c:v>9.86</c:v>
                </c:pt>
                <c:pt idx="1">
                  <c:v>11.02</c:v>
                </c:pt>
                <c:pt idx="2">
                  <c:v>12.18</c:v>
                </c:pt>
                <c:pt idx="3">
                  <c:v>13.34</c:v>
                </c:pt>
                <c:pt idx="4">
                  <c:v>14.499999999999998</c:v>
                </c:pt>
                <c:pt idx="5">
                  <c:v>15.659999999999998</c:v>
                </c:pt>
                <c:pt idx="6">
                  <c:v>16.82</c:v>
                </c:pt>
                <c:pt idx="7">
                  <c:v>17.98</c:v>
                </c:pt>
              </c:numCache>
            </c:numRef>
          </c:xVal>
          <c:yVal>
            <c:numRef>
              <c:f>'Perf Comparison Heaving Buoy'!$L$66:$S$66</c:f>
              <c:numCache>
                <c:formatCode>0%</c:formatCode>
                <c:ptCount val="8"/>
                <c:pt idx="0">
                  <c:v>2.6618608144962881</c:v>
                </c:pt>
                <c:pt idx="1">
                  <c:v>2.6983684166942523</c:v>
                </c:pt>
                <c:pt idx="2">
                  <c:v>2.7533889786616483</c:v>
                </c:pt>
                <c:pt idx="3">
                  <c:v>2.7980105724497859</c:v>
                </c:pt>
                <c:pt idx="4">
                  <c:v>2.8383313922624431</c:v>
                </c:pt>
                <c:pt idx="5">
                  <c:v>2.9144377006556792</c:v>
                </c:pt>
                <c:pt idx="6">
                  <c:v>2.909759682446091</c:v>
                </c:pt>
                <c:pt idx="7">
                  <c:v>2.9530656274430571</c:v>
                </c:pt>
              </c:numCache>
            </c:numRef>
          </c:yVal>
          <c:smooth val="0"/>
          <c:extLst xmlns:c16r2="http://schemas.microsoft.com/office/drawing/2015/06/chart">
            <c:ext xmlns:c16="http://schemas.microsoft.com/office/drawing/2014/chart" uri="{C3380CC4-5D6E-409C-BE32-E72D297353CC}">
              <c16:uniqueId val="{00000001-B02D-4604-98BB-E99BF8BE8E72}"/>
            </c:ext>
          </c:extLst>
        </c:ser>
        <c:ser>
          <c:idx val="2"/>
          <c:order val="2"/>
          <c:tx>
            <c:v>Hs = 3.25 m</c:v>
          </c:tx>
          <c:spPr>
            <a:ln w="19050" cap="rnd">
              <a:solidFill>
                <a:schemeClr val="accent3"/>
              </a:solidFill>
              <a:round/>
            </a:ln>
            <a:effectLst/>
          </c:spPr>
          <c:marker>
            <c:symbol val="diamond"/>
            <c:size val="5"/>
            <c:spPr>
              <a:solidFill>
                <a:schemeClr val="accent3"/>
              </a:solidFill>
              <a:ln w="9525">
                <a:solidFill>
                  <a:schemeClr val="accent3"/>
                </a:solidFill>
              </a:ln>
              <a:effectLst/>
            </c:spPr>
          </c:marker>
          <c:xVal>
            <c:numRef>
              <c:f>'Perf Comparison Heaving Buoy'!$L$82:$S$82</c:f>
              <c:numCache>
                <c:formatCode>General</c:formatCode>
                <c:ptCount val="8"/>
                <c:pt idx="0">
                  <c:v>9.86</c:v>
                </c:pt>
                <c:pt idx="1">
                  <c:v>11.02</c:v>
                </c:pt>
                <c:pt idx="2">
                  <c:v>12.18</c:v>
                </c:pt>
                <c:pt idx="3">
                  <c:v>13.34</c:v>
                </c:pt>
                <c:pt idx="4">
                  <c:v>14.499999999999998</c:v>
                </c:pt>
                <c:pt idx="5">
                  <c:v>15.659999999999998</c:v>
                </c:pt>
                <c:pt idx="6">
                  <c:v>16.82</c:v>
                </c:pt>
                <c:pt idx="7">
                  <c:v>17.98</c:v>
                </c:pt>
              </c:numCache>
            </c:numRef>
          </c:xVal>
          <c:yVal>
            <c:numRef>
              <c:f>'Perf Comparison Heaving Buoy'!$L$68:$S$68</c:f>
              <c:numCache>
                <c:formatCode>0%</c:formatCode>
                <c:ptCount val="8"/>
                <c:pt idx="0">
                  <c:v>1.9153784355380459</c:v>
                </c:pt>
                <c:pt idx="1">
                  <c:v>1.9259394619163503</c:v>
                </c:pt>
                <c:pt idx="2">
                  <c:v>1.9579670158673803</c:v>
                </c:pt>
                <c:pt idx="3">
                  <c:v>1.9869280623669554</c:v>
                </c:pt>
                <c:pt idx="4">
                  <c:v>2.0091791780226629</c:v>
                </c:pt>
                <c:pt idx="5">
                  <c:v>2.0558977018088789</c:v>
                </c:pt>
                <c:pt idx="6">
                  <c:v>2.0486095609503683</c:v>
                </c:pt>
                <c:pt idx="7">
                  <c:v>2.078187126252879</c:v>
                </c:pt>
              </c:numCache>
            </c:numRef>
          </c:yVal>
          <c:smooth val="0"/>
          <c:extLst xmlns:c16r2="http://schemas.microsoft.com/office/drawing/2015/06/chart">
            <c:ext xmlns:c16="http://schemas.microsoft.com/office/drawing/2014/chart" uri="{C3380CC4-5D6E-409C-BE32-E72D297353CC}">
              <c16:uniqueId val="{00000002-B02D-4604-98BB-E99BF8BE8E72}"/>
            </c:ext>
          </c:extLst>
        </c:ser>
        <c:ser>
          <c:idx val="3"/>
          <c:order val="3"/>
          <c:tx>
            <c:v>Hs = 4.25 m</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'Perf Comparison Heaving Buoy'!$L$82:$S$82</c:f>
              <c:numCache>
                <c:formatCode>General</c:formatCode>
                <c:ptCount val="8"/>
                <c:pt idx="0">
                  <c:v>9.86</c:v>
                </c:pt>
                <c:pt idx="1">
                  <c:v>11.02</c:v>
                </c:pt>
                <c:pt idx="2">
                  <c:v>12.18</c:v>
                </c:pt>
                <c:pt idx="3">
                  <c:v>13.34</c:v>
                </c:pt>
                <c:pt idx="4">
                  <c:v>14.499999999999998</c:v>
                </c:pt>
                <c:pt idx="5">
                  <c:v>15.659999999999998</c:v>
                </c:pt>
                <c:pt idx="6">
                  <c:v>16.82</c:v>
                </c:pt>
                <c:pt idx="7">
                  <c:v>17.98</c:v>
                </c:pt>
              </c:numCache>
            </c:numRef>
          </c:xVal>
          <c:yVal>
            <c:numRef>
              <c:f>'Perf Comparison Heaving Buoy'!$L$70:$S$70</c:f>
              <c:numCache>
                <c:formatCode>0%</c:formatCode>
                <c:ptCount val="8"/>
                <c:pt idx="0">
                  <c:v>1.6109201722683755</c:v>
                </c:pt>
                <c:pt idx="1">
                  <c:v>1.613288337269503</c:v>
                </c:pt>
                <c:pt idx="2">
                  <c:v>1.6201881988477784</c:v>
                </c:pt>
                <c:pt idx="3">
                  <c:v>1.6006285215894311</c:v>
                </c:pt>
                <c:pt idx="4">
                  <c:v>1.5659781262689909</c:v>
                </c:pt>
                <c:pt idx="5">
                  <c:v>1.5922621391487068</c:v>
                </c:pt>
                <c:pt idx="6">
                  <c:v>1.5781307334668697</c:v>
                </c:pt>
                <c:pt idx="7">
                  <c:v>1.6025636665274658</c:v>
                </c:pt>
              </c:numCache>
            </c:numRef>
          </c:yVal>
          <c:smooth val="0"/>
          <c:extLst xmlns:c16r2="http://schemas.microsoft.com/office/drawing/2015/06/chart">
            <c:ext xmlns:c16="http://schemas.microsoft.com/office/drawing/2014/chart" uri="{C3380CC4-5D6E-409C-BE32-E72D297353CC}">
              <c16:uniqueId val="{00000003-B02D-4604-98BB-E99BF8BE8E72}"/>
            </c:ext>
          </c:extLst>
        </c:ser>
        <c:dLbls>
          <c:showLegendKey val="0"/>
          <c:showVal val="0"/>
          <c:showCatName val="0"/>
          <c:showSerName val="0"/>
          <c:showPercent val="0"/>
          <c:showBubbleSize val="0"/>
        </c:dLbls>
        <c:axId val="382734240"/>
        <c:axId val="382736592"/>
      </c:scatterChart>
      <c:valAx>
        <c:axId val="382734240"/>
        <c:scaling>
          <c:orientation val="minMax"/>
          <c:min val="8"/>
        </c:scaling>
        <c:delete val="0"/>
        <c:axPos val="b"/>
        <c:majorGridlines>
          <c:spPr>
            <a:ln w="317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sz="1100">
                    <a:solidFill>
                      <a:schemeClr val="tx1"/>
                    </a:solidFill>
                  </a:rPr>
                  <a:t>Tp (s)</a:t>
                </a: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82736592"/>
        <c:crosses val="autoZero"/>
        <c:crossBetween val="midCat"/>
      </c:valAx>
      <c:valAx>
        <c:axId val="382736592"/>
        <c:scaling>
          <c:orientation val="minMax"/>
        </c:scaling>
        <c:delete val="0"/>
        <c:axPos val="l"/>
        <c:majorGridlines>
          <c:spPr>
            <a:ln w="317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a:solidFill>
                      <a:schemeClr val="tx1"/>
                    </a:solidFill>
                  </a:rPr>
                  <a:t>PERCENT IMPROVEMENT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82734240"/>
        <c:crosses val="autoZero"/>
        <c:crossBetween val="midCat"/>
      </c:valAx>
      <c:spPr>
        <a:noFill/>
        <a:ln>
          <a:solidFill>
            <a:schemeClr val="tx1"/>
          </a:solidFill>
        </a:ln>
        <a:effectLst/>
      </c:spPr>
    </c:plotArea>
    <c:legend>
      <c:legendPos val="r"/>
      <c:layout>
        <c:manualLayout>
          <c:xMode val="edge"/>
          <c:yMode val="edge"/>
          <c:x val="0.17011669149464423"/>
          <c:y val="0.74657882125928277"/>
          <c:w val="0.77780573880967585"/>
          <c:h val="8.833490813648294E-2"/>
        </c:manualLayout>
      </c:layout>
      <c:overlay val="0"/>
      <c:spPr>
        <a:solidFill>
          <a:schemeClr val="bg1"/>
        </a:solidFill>
        <a:ln>
          <a:solidFill>
            <a:schemeClr val="tx1"/>
          </a:solid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Graphs'!$B$2:$E$2</c:f>
              <c:numCache>
                <c:formatCode>General</c:formatCode>
                <c:ptCount val="4"/>
                <c:pt idx="0">
                  <c:v>1</c:v>
                </c:pt>
                <c:pt idx="1">
                  <c:v>10</c:v>
                </c:pt>
                <c:pt idx="2">
                  <c:v>50</c:v>
                </c:pt>
                <c:pt idx="3">
                  <c:v>100</c:v>
                </c:pt>
              </c:numCache>
            </c:numRef>
          </c:cat>
          <c:val>
            <c:numRef>
              <c:f>'Report Tables'!$B$22:$E$22</c:f>
              <c:numCache>
                <c:formatCode>"$"#,##0</c:formatCode>
                <c:ptCount val="4"/>
                <c:pt idx="0">
                  <c:v>13270</c:v>
                </c:pt>
                <c:pt idx="1">
                  <c:v>2440</c:v>
                </c:pt>
                <c:pt idx="2">
                  <c:v>540</c:v>
                </c:pt>
                <c:pt idx="3">
                  <c:v>270</c:v>
                </c:pt>
              </c:numCache>
            </c:numRef>
          </c:val>
        </c:ser>
        <c:ser>
          <c:idx val="1"/>
          <c:order val="1"/>
          <c:tx>
            <c:strRef>
              <c:f>'Report Tables'!$A$8</c:f>
              <c:strCache>
                <c:ptCount val="1"/>
                <c:pt idx="0">
                  <c:v>Infrastructure</c:v>
                </c:pt>
              </c:strCache>
            </c:strRef>
          </c:tx>
          <c:invertIfNegative val="0"/>
          <c:cat>
            <c:numRef>
              <c:f>'Report Graphs'!$B$2:$E$2</c:f>
              <c:numCache>
                <c:formatCode>General</c:formatCode>
                <c:ptCount val="4"/>
                <c:pt idx="0">
                  <c:v>1</c:v>
                </c:pt>
                <c:pt idx="1">
                  <c:v>10</c:v>
                </c:pt>
                <c:pt idx="2">
                  <c:v>50</c:v>
                </c:pt>
                <c:pt idx="3">
                  <c:v>100</c:v>
                </c:pt>
              </c:numCache>
            </c:numRef>
          </c:cat>
          <c:val>
            <c:numRef>
              <c:f>'Report Tables'!$B$23:$E$23</c:f>
              <c:numCache>
                <c:formatCode>"$"#,##0</c:formatCode>
                <c:ptCount val="4"/>
                <c:pt idx="0">
                  <c:v>2980</c:v>
                </c:pt>
                <c:pt idx="1">
                  <c:v>1460</c:v>
                </c:pt>
                <c:pt idx="2">
                  <c:v>460</c:v>
                </c:pt>
                <c:pt idx="3">
                  <c:v>520</c:v>
                </c:pt>
              </c:numCache>
            </c:numRef>
          </c:val>
        </c:ser>
        <c:ser>
          <c:idx val="3"/>
          <c:order val="2"/>
          <c:tx>
            <c:strRef>
              <c:f>'Report Tables'!$A$9</c:f>
              <c:strCache>
                <c:ptCount val="1"/>
                <c:pt idx="0">
                  <c:v>Mooring/Foundation</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Tables'!$B$24:$E$24</c:f>
              <c:numCache>
                <c:formatCode>"$"#,##0</c:formatCode>
                <c:ptCount val="4"/>
                <c:pt idx="0">
                  <c:v>270</c:v>
                </c:pt>
                <c:pt idx="1">
                  <c:v>210</c:v>
                </c:pt>
                <c:pt idx="2">
                  <c:v>180</c:v>
                </c:pt>
                <c:pt idx="3">
                  <c:v>170</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Tables'!$B$25:$E$25</c:f>
              <c:numCache>
                <c:formatCode>"$"#,##0</c:formatCode>
                <c:ptCount val="4"/>
                <c:pt idx="0">
                  <c:v>900</c:v>
                </c:pt>
                <c:pt idx="1">
                  <c:v>620</c:v>
                </c:pt>
                <c:pt idx="2">
                  <c:v>550</c:v>
                </c:pt>
                <c:pt idx="3">
                  <c:v>530</c:v>
                </c:pt>
              </c:numCache>
            </c:numRef>
          </c:val>
        </c:ser>
        <c:ser>
          <c:idx val="5"/>
          <c:order val="4"/>
          <c:tx>
            <c:strRef>
              <c:f>'Report Tables'!$A$11</c:f>
              <c:strCache>
                <c:ptCount val="1"/>
                <c:pt idx="0">
                  <c:v>Power Take Off</c:v>
                </c:pt>
              </c:strCache>
            </c:strRef>
          </c:tx>
          <c:invertIfNegative val="0"/>
          <c:cat>
            <c:numRef>
              <c:f>'Report Graphs'!$B$2:$E$2</c:f>
              <c:numCache>
                <c:formatCode>General</c:formatCode>
                <c:ptCount val="4"/>
                <c:pt idx="0">
                  <c:v>1</c:v>
                </c:pt>
                <c:pt idx="1">
                  <c:v>10</c:v>
                </c:pt>
                <c:pt idx="2">
                  <c:v>50</c:v>
                </c:pt>
                <c:pt idx="3">
                  <c:v>100</c:v>
                </c:pt>
              </c:numCache>
            </c:numRef>
          </c:cat>
          <c:val>
            <c:numRef>
              <c:f>'Report Tables'!$B$26:$E$26</c:f>
              <c:numCache>
                <c:formatCode>"$"#,##0</c:formatCode>
                <c:ptCount val="4"/>
                <c:pt idx="0">
                  <c:v>1950</c:v>
                </c:pt>
                <c:pt idx="1">
                  <c:v>1530</c:v>
                </c:pt>
                <c:pt idx="2">
                  <c:v>1330</c:v>
                </c:pt>
                <c:pt idx="3">
                  <c:v>1270</c:v>
                </c:pt>
              </c:numCache>
            </c:numRef>
          </c:val>
        </c:ser>
        <c:ser>
          <c:idx val="2"/>
          <c:order val="5"/>
          <c:tx>
            <c:strRef>
              <c:f>'Report Tables'!$A$12</c:f>
              <c:strCache>
                <c:ptCount val="1"/>
                <c:pt idx="0">
                  <c:v>Subsystem Integration &amp; Profit Margin</c:v>
                </c:pt>
              </c:strCache>
            </c:strRef>
          </c:tx>
          <c:invertIfNegative val="0"/>
          <c:cat>
            <c:numRef>
              <c:f>'Report Graphs'!$B$2:$E$2</c:f>
              <c:numCache>
                <c:formatCode>General</c:formatCode>
                <c:ptCount val="4"/>
                <c:pt idx="0">
                  <c:v>1</c:v>
                </c:pt>
                <c:pt idx="1">
                  <c:v>10</c:v>
                </c:pt>
                <c:pt idx="2">
                  <c:v>50</c:v>
                </c:pt>
                <c:pt idx="3">
                  <c:v>100</c:v>
                </c:pt>
              </c:numCache>
            </c:numRef>
          </c:cat>
          <c:val>
            <c:numRef>
              <c:f>'Report Tables'!$B$27:$E$27</c:f>
              <c:numCache>
                <c:formatCode>"$"#,##0</c:formatCode>
                <c:ptCount val="4"/>
                <c:pt idx="0">
                  <c:v>860</c:v>
                </c:pt>
                <c:pt idx="1">
                  <c:v>430</c:v>
                </c:pt>
                <c:pt idx="2">
                  <c:v>380</c:v>
                </c:pt>
                <c:pt idx="3">
                  <c:v>360</c:v>
                </c:pt>
              </c:numCache>
            </c:numRef>
          </c:val>
        </c:ser>
        <c:ser>
          <c:idx val="6"/>
          <c:order val="6"/>
          <c:tx>
            <c:strRef>
              <c:f>'Report Tables'!$A$13</c:f>
              <c:strCache>
                <c:ptCount val="1"/>
                <c:pt idx="0">
                  <c:v>Installation</c:v>
                </c:pt>
              </c:strCache>
            </c:strRef>
          </c:tx>
          <c:invertIfNegative val="0"/>
          <c:cat>
            <c:numRef>
              <c:f>'Report Graphs'!$B$2:$E$2</c:f>
              <c:numCache>
                <c:formatCode>General</c:formatCode>
                <c:ptCount val="4"/>
                <c:pt idx="0">
                  <c:v>1</c:v>
                </c:pt>
                <c:pt idx="1">
                  <c:v>10</c:v>
                </c:pt>
                <c:pt idx="2">
                  <c:v>50</c:v>
                </c:pt>
                <c:pt idx="3">
                  <c:v>100</c:v>
                </c:pt>
              </c:numCache>
            </c:numRef>
          </c:cat>
          <c:val>
            <c:numRef>
              <c:f>'Report Tables'!$B$28:$E$28</c:f>
              <c:numCache>
                <c:formatCode>"$"#,##0</c:formatCode>
                <c:ptCount val="4"/>
                <c:pt idx="0">
                  <c:v>18240</c:v>
                </c:pt>
                <c:pt idx="1">
                  <c:v>3180</c:v>
                </c:pt>
                <c:pt idx="2">
                  <c:v>1740</c:v>
                </c:pt>
                <c:pt idx="3">
                  <c:v>1580</c:v>
                </c:pt>
              </c:numCache>
            </c:numRef>
          </c:val>
        </c:ser>
        <c:ser>
          <c:idx val="7"/>
          <c:order val="7"/>
          <c:tx>
            <c:strRef>
              <c:f>'Report Tables'!$A$14</c:f>
              <c:strCache>
                <c:ptCount val="1"/>
                <c:pt idx="0">
                  <c:v>Contingency</c:v>
                </c:pt>
              </c:strCache>
            </c:strRef>
          </c:tx>
          <c:invertIfNegative val="0"/>
          <c:cat>
            <c:numRef>
              <c:f>'Report Graphs'!$B$2:$E$2</c:f>
              <c:numCache>
                <c:formatCode>General</c:formatCode>
                <c:ptCount val="4"/>
                <c:pt idx="0">
                  <c:v>1</c:v>
                </c:pt>
                <c:pt idx="1">
                  <c:v>10</c:v>
                </c:pt>
                <c:pt idx="2">
                  <c:v>50</c:v>
                </c:pt>
                <c:pt idx="3">
                  <c:v>100</c:v>
                </c:pt>
              </c:numCache>
            </c:numRef>
          </c:cat>
          <c:val>
            <c:numRef>
              <c:f>'Report Tables'!$B$29:$E$29</c:f>
              <c:numCache>
                <c:formatCode>"$"#,##0</c:formatCode>
                <c:ptCount val="4"/>
                <c:pt idx="0">
                  <c:v>3850</c:v>
                </c:pt>
                <c:pt idx="1">
                  <c:v>990</c:v>
                </c:pt>
                <c:pt idx="2">
                  <c:v>520</c:v>
                </c:pt>
                <c:pt idx="3">
                  <c:v>470</c:v>
                </c:pt>
              </c:numCache>
            </c:numRef>
          </c:val>
        </c:ser>
        <c:dLbls>
          <c:showLegendKey val="0"/>
          <c:showVal val="0"/>
          <c:showCatName val="0"/>
          <c:showSerName val="0"/>
          <c:showPercent val="0"/>
          <c:showBubbleSize val="0"/>
        </c:dLbls>
        <c:gapWidth val="150"/>
        <c:overlap val="100"/>
        <c:axId val="362943256"/>
        <c:axId val="362938160"/>
      </c:barChart>
      <c:catAx>
        <c:axId val="362943256"/>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overlay val="0"/>
        </c:title>
        <c:numFmt formatCode="0" sourceLinked="0"/>
        <c:majorTickMark val="out"/>
        <c:minorTickMark val="none"/>
        <c:tickLblPos val="nextTo"/>
        <c:crossAx val="362938160"/>
        <c:crosses val="autoZero"/>
        <c:auto val="1"/>
        <c:lblAlgn val="ctr"/>
        <c:lblOffset val="100"/>
        <c:noMultiLvlLbl val="0"/>
      </c:catAx>
      <c:valAx>
        <c:axId val="362938160"/>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Capex ($/kW)</a:t>
                </a:r>
              </a:p>
            </c:rich>
          </c:tx>
          <c:layout/>
          <c:overlay val="0"/>
        </c:title>
        <c:numFmt formatCode="&quot;$&quot;#,##0" sourceLinked="1"/>
        <c:majorTickMark val="out"/>
        <c:minorTickMark val="none"/>
        <c:tickLblPos val="nextTo"/>
        <c:crossAx val="362943256"/>
        <c:crosses val="autoZero"/>
        <c:crossBetween val="between"/>
      </c:valAx>
    </c:plotArea>
    <c:legend>
      <c:legendPos val="r"/>
      <c:layout/>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Graphs'!$C$2:$E$2</c:f>
              <c:numCache>
                <c:formatCode>General</c:formatCode>
                <c:ptCount val="3"/>
                <c:pt idx="0">
                  <c:v>10</c:v>
                </c:pt>
                <c:pt idx="1">
                  <c:v>50</c:v>
                </c:pt>
                <c:pt idx="2">
                  <c:v>100</c:v>
                </c:pt>
              </c:numCache>
            </c:numRef>
          </c:cat>
          <c:val>
            <c:numRef>
              <c:f>('Report Tables'!$B$37,'Report Tables'!$D$37,'Report Tables'!$F$37)</c:f>
              <c:numCache>
                <c:formatCode>#,##0.0</c:formatCode>
                <c:ptCount val="3"/>
                <c:pt idx="0">
                  <c:v>10.702359576577937</c:v>
                </c:pt>
                <c:pt idx="1">
                  <c:v>2.3747241561443286</c:v>
                </c:pt>
                <c:pt idx="2" formatCode="0.0">
                  <c:v>1.1687841624393867</c:v>
                </c:pt>
              </c:numCache>
            </c:numRef>
          </c:val>
        </c:ser>
        <c:ser>
          <c:idx val="1"/>
          <c:order val="1"/>
          <c:tx>
            <c:strRef>
              <c:f>'Report Tables'!$A$8</c:f>
              <c:strCache>
                <c:ptCount val="1"/>
                <c:pt idx="0">
                  <c:v>Infrastructure</c:v>
                </c:pt>
              </c:strCache>
            </c:strRef>
          </c:tx>
          <c:invertIfNegative val="0"/>
          <c:cat>
            <c:numRef>
              <c:f>'Report Graphs'!$C$2:$E$2</c:f>
              <c:numCache>
                <c:formatCode>General</c:formatCode>
                <c:ptCount val="3"/>
                <c:pt idx="0">
                  <c:v>10</c:v>
                </c:pt>
                <c:pt idx="1">
                  <c:v>50</c:v>
                </c:pt>
                <c:pt idx="2">
                  <c:v>100</c:v>
                </c:pt>
              </c:numCache>
            </c:numRef>
          </c:cat>
          <c:val>
            <c:numRef>
              <c:f>('Report Tables'!$B$38,'Report Tables'!$D$38,'Report Tables'!$F$38)</c:f>
              <c:numCache>
                <c:formatCode>#,##0.0</c:formatCode>
                <c:ptCount val="3"/>
                <c:pt idx="0">
                  <c:v>6.4139437700730451</c:v>
                </c:pt>
                <c:pt idx="1">
                  <c:v>1.9970328627313854</c:v>
                </c:pt>
                <c:pt idx="2" formatCode="0.0">
                  <c:v>2.2844725650198443</c:v>
                </c:pt>
              </c:numCache>
            </c:numRef>
          </c:val>
        </c:ser>
        <c:ser>
          <c:idx val="3"/>
          <c:order val="2"/>
          <c:tx>
            <c:strRef>
              <c:f>'Report Tables'!$A$9</c:f>
              <c:strCache>
                <c:ptCount val="1"/>
                <c:pt idx="0">
                  <c:v>Mooring/Foundation</c:v>
                </c:pt>
              </c:strCache>
            </c:strRef>
          </c:tx>
          <c:spPr>
            <a:solidFill>
              <a:srgbClr val="FFC000"/>
            </a:solidFill>
          </c:spPr>
          <c:invertIfNegative val="0"/>
          <c:cat>
            <c:numRef>
              <c:f>'Report Graphs'!$C$2:$E$2</c:f>
              <c:numCache>
                <c:formatCode>General</c:formatCode>
                <c:ptCount val="3"/>
                <c:pt idx="0">
                  <c:v>10</c:v>
                </c:pt>
                <c:pt idx="1">
                  <c:v>50</c:v>
                </c:pt>
                <c:pt idx="2">
                  <c:v>100</c:v>
                </c:pt>
              </c:numCache>
            </c:numRef>
          </c:cat>
          <c:val>
            <c:numRef>
              <c:f>('Report Tables'!$B$39,'Report Tables'!$D$39,'Report Tables'!$F$39)</c:f>
              <c:numCache>
                <c:formatCode>#,##0.0</c:formatCode>
                <c:ptCount val="3"/>
                <c:pt idx="0">
                  <c:v>0.94093508809353976</c:v>
                </c:pt>
                <c:pt idx="1">
                  <c:v>0.79502234788997883</c:v>
                </c:pt>
                <c:pt idx="2" formatCode="0.0">
                  <c:v>0.73937078353768038</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Graphs'!$C$2:$E$2</c:f>
              <c:numCache>
                <c:formatCode>General</c:formatCode>
                <c:ptCount val="3"/>
                <c:pt idx="0">
                  <c:v>10</c:v>
                </c:pt>
                <c:pt idx="1">
                  <c:v>50</c:v>
                </c:pt>
                <c:pt idx="2">
                  <c:v>100</c:v>
                </c:pt>
              </c:numCache>
            </c:numRef>
          </c:cat>
          <c:val>
            <c:numRef>
              <c:f>('Report Tables'!$B$40,'Report Tables'!$D$40,'Report Tables'!$F$40)</c:f>
              <c:numCache>
                <c:formatCode>#,##0.0</c:formatCode>
                <c:ptCount val="3"/>
                <c:pt idx="0">
                  <c:v>2.731821054829314</c:v>
                </c:pt>
                <c:pt idx="1">
                  <c:v>2.4042328742988603</c:v>
                </c:pt>
                <c:pt idx="2" formatCode="0.0">
                  <c:v>2.3296018266046299</c:v>
                </c:pt>
              </c:numCache>
            </c:numRef>
          </c:val>
        </c:ser>
        <c:ser>
          <c:idx val="5"/>
          <c:order val="4"/>
          <c:tx>
            <c:strRef>
              <c:f>'Report Tables'!$A$11</c:f>
              <c:strCache>
                <c:ptCount val="1"/>
                <c:pt idx="0">
                  <c:v>Power Take Off</c:v>
                </c:pt>
              </c:strCache>
            </c:strRef>
          </c:tx>
          <c:invertIfNegative val="0"/>
          <c:cat>
            <c:numRef>
              <c:f>'Report Graphs'!$C$2:$E$2</c:f>
              <c:numCache>
                <c:formatCode>General</c:formatCode>
                <c:ptCount val="3"/>
                <c:pt idx="0">
                  <c:v>10</c:v>
                </c:pt>
                <c:pt idx="1">
                  <c:v>50</c:v>
                </c:pt>
                <c:pt idx="2">
                  <c:v>100</c:v>
                </c:pt>
              </c:numCache>
            </c:numRef>
          </c:cat>
          <c:val>
            <c:numRef>
              <c:f>('Report Tables'!$B$41,'Report Tables'!$D$41,'Report Tables'!$F$41)</c:f>
              <c:numCache>
                <c:formatCode>#,##0.0</c:formatCode>
                <c:ptCount val="3"/>
                <c:pt idx="0">
                  <c:v>6.6908972603925196</c:v>
                </c:pt>
                <c:pt idx="1">
                  <c:v>5.8446636053953576</c:v>
                </c:pt>
                <c:pt idx="2" formatCode="0.0">
                  <c:v>5.5542949921056879</c:v>
                </c:pt>
              </c:numCache>
            </c:numRef>
          </c:val>
        </c:ser>
        <c:ser>
          <c:idx val="2"/>
          <c:order val="5"/>
          <c:tx>
            <c:strRef>
              <c:f>'Report Tables'!$A$12</c:f>
              <c:strCache>
                <c:ptCount val="1"/>
                <c:pt idx="0">
                  <c:v>Subsystem Integration &amp; Profit Margin</c:v>
                </c:pt>
              </c:strCache>
            </c:strRef>
          </c:tx>
          <c:invertIfNegative val="0"/>
          <c:cat>
            <c:numRef>
              <c:f>'Report Graphs'!$C$2:$E$2</c:f>
              <c:numCache>
                <c:formatCode>General</c:formatCode>
                <c:ptCount val="3"/>
                <c:pt idx="0">
                  <c:v>10</c:v>
                </c:pt>
                <c:pt idx="1">
                  <c:v>50</c:v>
                </c:pt>
                <c:pt idx="2">
                  <c:v>100</c:v>
                </c:pt>
              </c:numCache>
            </c:numRef>
          </c:cat>
          <c:val>
            <c:numRef>
              <c:f>('Report Tables'!$B$42,'Report Tables'!$D$42,'Report Tables'!$F$42)</c:f>
              <c:numCache>
                <c:formatCode>#,##0.0</c:formatCode>
                <c:ptCount val="3"/>
                <c:pt idx="0">
                  <c:v>1.8845436630443664</c:v>
                </c:pt>
                <c:pt idx="1">
                  <c:v>1.6497792959388438</c:v>
                </c:pt>
                <c:pt idx="2" formatCode="0.0">
                  <c:v>1.5767793637420637</c:v>
                </c:pt>
              </c:numCache>
            </c:numRef>
          </c:val>
        </c:ser>
        <c:ser>
          <c:idx val="6"/>
          <c:order val="6"/>
          <c:tx>
            <c:strRef>
              <c:f>'Report Tables'!$A$13</c:f>
              <c:strCache>
                <c:ptCount val="1"/>
                <c:pt idx="0">
                  <c:v>Installation</c:v>
                </c:pt>
              </c:strCache>
            </c:strRef>
          </c:tx>
          <c:invertIfNegative val="0"/>
          <c:cat>
            <c:numRef>
              <c:f>'Report Graphs'!$C$2:$E$2</c:f>
              <c:numCache>
                <c:formatCode>General</c:formatCode>
                <c:ptCount val="3"/>
                <c:pt idx="0">
                  <c:v>10</c:v>
                </c:pt>
                <c:pt idx="1">
                  <c:v>50</c:v>
                </c:pt>
                <c:pt idx="2">
                  <c:v>100</c:v>
                </c:pt>
              </c:numCache>
            </c:numRef>
          </c:cat>
          <c:val>
            <c:numRef>
              <c:f>('Report Tables'!$B$43,'Report Tables'!$D$43,'Report Tables'!$F$43)</c:f>
              <c:numCache>
                <c:formatCode>#,##0.0</c:formatCode>
                <c:ptCount val="3"/>
                <c:pt idx="0">
                  <c:v>13.924623299685598</c:v>
                </c:pt>
                <c:pt idx="1">
                  <c:v>7.6218966811096909</c:v>
                </c:pt>
                <c:pt idx="2" formatCode="0.0">
                  <c:v>6.9352536332710759</c:v>
                </c:pt>
              </c:numCache>
            </c:numRef>
          </c:val>
        </c:ser>
        <c:ser>
          <c:idx val="7"/>
          <c:order val="7"/>
          <c:tx>
            <c:strRef>
              <c:f>'Report Tables'!$A$14</c:f>
              <c:strCache>
                <c:ptCount val="1"/>
                <c:pt idx="0">
                  <c:v>Contingency</c:v>
                </c:pt>
              </c:strCache>
            </c:strRef>
          </c:tx>
          <c:invertIfNegative val="0"/>
          <c:cat>
            <c:numRef>
              <c:f>'Report Graphs'!$C$2:$E$2</c:f>
              <c:numCache>
                <c:formatCode>General</c:formatCode>
                <c:ptCount val="3"/>
                <c:pt idx="0">
                  <c:v>10</c:v>
                </c:pt>
                <c:pt idx="1">
                  <c:v>50</c:v>
                </c:pt>
                <c:pt idx="2">
                  <c:v>100</c:v>
                </c:pt>
              </c:numCache>
            </c:numRef>
          </c:cat>
          <c:val>
            <c:numRef>
              <c:f>('Report Tables'!$B$44,'Report Tables'!$D$44,'Report Tables'!$F$44)</c:f>
              <c:numCache>
                <c:formatCode>#,##0.0</c:formatCode>
                <c:ptCount val="3"/>
                <c:pt idx="0">
                  <c:v>4.3289123712696327</c:v>
                </c:pt>
                <c:pt idx="1">
                  <c:v>2.2687351823508446</c:v>
                </c:pt>
                <c:pt idx="2" formatCode="0.0">
                  <c:v>2.0588557326720371</c:v>
                </c:pt>
              </c:numCache>
            </c:numRef>
          </c:val>
        </c:ser>
        <c:dLbls>
          <c:showLegendKey val="0"/>
          <c:showVal val="0"/>
          <c:showCatName val="0"/>
          <c:showSerName val="0"/>
          <c:showPercent val="0"/>
          <c:showBubbleSize val="0"/>
        </c:dLbls>
        <c:gapWidth val="150"/>
        <c:overlap val="100"/>
        <c:axId val="362942472"/>
        <c:axId val="362940120"/>
      </c:barChart>
      <c:catAx>
        <c:axId val="362942472"/>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overlay val="0"/>
        </c:title>
        <c:numFmt formatCode="0" sourceLinked="0"/>
        <c:majorTickMark val="out"/>
        <c:minorTickMark val="none"/>
        <c:tickLblPos val="nextTo"/>
        <c:crossAx val="362940120"/>
        <c:crosses val="autoZero"/>
        <c:auto val="1"/>
        <c:lblAlgn val="ctr"/>
        <c:lblOffset val="100"/>
        <c:noMultiLvlLbl val="0"/>
      </c:catAx>
      <c:valAx>
        <c:axId val="362940120"/>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1.6838882510524303E-2"/>
              <c:y val="0.32321127075469908"/>
            </c:manualLayout>
          </c:layout>
          <c:overlay val="0"/>
        </c:title>
        <c:numFmt formatCode="#,##0.0" sourceLinked="1"/>
        <c:majorTickMark val="out"/>
        <c:minorTickMark val="none"/>
        <c:tickLblPos val="nextTo"/>
        <c:crossAx val="362942472"/>
        <c:crosses val="autoZero"/>
        <c:crossBetween val="between"/>
      </c:valAx>
    </c:plotArea>
    <c:legend>
      <c:legendPos val="r"/>
      <c:layout/>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Tables'!$A$52</c:f>
              <c:strCache>
                <c:ptCount val="1"/>
                <c:pt idx="0">
                  <c:v>Insurance</c:v>
                </c:pt>
              </c:strCache>
            </c:strRef>
          </c:tx>
          <c:invertIfNegative val="0"/>
          <c:cat>
            <c:numRef>
              <c:f>'Report Graphs'!$B$2:$E$2</c:f>
              <c:numCache>
                <c:formatCode>General</c:formatCode>
                <c:ptCount val="4"/>
                <c:pt idx="0">
                  <c:v>1</c:v>
                </c:pt>
                <c:pt idx="1">
                  <c:v>10</c:v>
                </c:pt>
                <c:pt idx="2">
                  <c:v>50</c:v>
                </c:pt>
                <c:pt idx="3">
                  <c:v>100</c:v>
                </c:pt>
              </c:numCache>
            </c:numRef>
          </c:cat>
          <c:val>
            <c:numRef>
              <c:f>'Report Tables'!$B$52:$E$52</c:f>
              <c:numCache>
                <c:formatCode>"$"#,##0</c:formatCode>
                <c:ptCount val="4"/>
                <c:pt idx="0">
                  <c:v>167</c:v>
                </c:pt>
                <c:pt idx="1">
                  <c:v>494</c:v>
                </c:pt>
                <c:pt idx="2">
                  <c:v>770</c:v>
                </c:pt>
                <c:pt idx="3">
                  <c:v>736</c:v>
                </c:pt>
              </c:numCache>
            </c:numRef>
          </c:val>
        </c:ser>
        <c:ser>
          <c:idx val="1"/>
          <c:order val="1"/>
          <c:tx>
            <c:strRef>
              <c:f>'Report Tables'!$A$53</c:f>
              <c:strCache>
                <c:ptCount val="1"/>
                <c:pt idx="0">
                  <c:v>Environmental Monitoring &amp; Regulatory Compliance</c:v>
                </c:pt>
              </c:strCache>
            </c:strRef>
          </c:tx>
          <c:invertIfNegative val="0"/>
          <c:cat>
            <c:numRef>
              <c:f>'Report Graphs'!$B$2:$E$2</c:f>
              <c:numCache>
                <c:formatCode>General</c:formatCode>
                <c:ptCount val="4"/>
                <c:pt idx="0">
                  <c:v>1</c:v>
                </c:pt>
                <c:pt idx="1">
                  <c:v>10</c:v>
                </c:pt>
                <c:pt idx="2">
                  <c:v>50</c:v>
                </c:pt>
                <c:pt idx="3">
                  <c:v>100</c:v>
                </c:pt>
              </c:numCache>
            </c:numRef>
          </c:cat>
          <c:val>
            <c:numRef>
              <c:f>'Report Tables'!$B$53:$E$53</c:f>
              <c:numCache>
                <c:formatCode>"$"#,##0</c:formatCode>
                <c:ptCount val="4"/>
                <c:pt idx="0">
                  <c:v>710</c:v>
                </c:pt>
                <c:pt idx="1">
                  <c:v>1121</c:v>
                </c:pt>
                <c:pt idx="2">
                  <c:v>1121</c:v>
                </c:pt>
                <c:pt idx="3">
                  <c:v>1121</c:v>
                </c:pt>
              </c:numCache>
            </c:numRef>
          </c:val>
        </c:ser>
        <c:ser>
          <c:idx val="3"/>
          <c:order val="2"/>
          <c:tx>
            <c:strRef>
              <c:f>'Report Tables'!$A$54</c:f>
              <c:strCache>
                <c:ptCount val="1"/>
                <c:pt idx="0">
                  <c:v>Marine Operations</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Tables'!$B$54:$E$54</c:f>
              <c:numCache>
                <c:formatCode>"$"#,##0</c:formatCode>
                <c:ptCount val="4"/>
                <c:pt idx="0">
                  <c:v>27</c:v>
                </c:pt>
                <c:pt idx="1">
                  <c:v>266</c:v>
                </c:pt>
                <c:pt idx="2">
                  <c:v>562</c:v>
                </c:pt>
                <c:pt idx="3">
                  <c:v>1125</c:v>
                </c:pt>
              </c:numCache>
            </c:numRef>
          </c:val>
        </c:ser>
        <c:ser>
          <c:idx val="4"/>
          <c:order val="3"/>
          <c:tx>
            <c:strRef>
              <c:f>'Report Tables'!$A$55</c:f>
              <c:strCache>
                <c:ptCount val="1"/>
                <c:pt idx="0">
                  <c:v>Shoreside Operations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Tables'!$B$55:$E$55</c:f>
              <c:numCache>
                <c:formatCode>"$"#,##0</c:formatCode>
                <c:ptCount val="4"/>
                <c:pt idx="0">
                  <c:v>142</c:v>
                </c:pt>
                <c:pt idx="1">
                  <c:v>400</c:v>
                </c:pt>
                <c:pt idx="2">
                  <c:v>455</c:v>
                </c:pt>
                <c:pt idx="3">
                  <c:v>675</c:v>
                </c:pt>
              </c:numCache>
            </c:numRef>
          </c:val>
        </c:ser>
        <c:ser>
          <c:idx val="5"/>
          <c:order val="4"/>
          <c:tx>
            <c:strRef>
              <c:f>'Report Tables'!$A$56</c:f>
              <c:strCache>
                <c:ptCount val="1"/>
                <c:pt idx="0">
                  <c:v>Replacement Parts</c:v>
                </c:pt>
              </c:strCache>
            </c:strRef>
          </c:tx>
          <c:invertIfNegative val="0"/>
          <c:cat>
            <c:numRef>
              <c:f>'Report Graphs'!$B$2:$E$2</c:f>
              <c:numCache>
                <c:formatCode>General</c:formatCode>
                <c:ptCount val="4"/>
                <c:pt idx="0">
                  <c:v>1</c:v>
                </c:pt>
                <c:pt idx="1">
                  <c:v>10</c:v>
                </c:pt>
                <c:pt idx="2">
                  <c:v>50</c:v>
                </c:pt>
                <c:pt idx="3">
                  <c:v>100</c:v>
                </c:pt>
              </c:numCache>
            </c:numRef>
          </c:cat>
          <c:val>
            <c:numRef>
              <c:f>'Report Tables'!$B$56:$E$56</c:f>
              <c:numCache>
                <c:formatCode>"$"#,##0</c:formatCode>
                <c:ptCount val="4"/>
                <c:pt idx="0">
                  <c:v>51</c:v>
                </c:pt>
                <c:pt idx="1">
                  <c:v>463</c:v>
                </c:pt>
                <c:pt idx="2">
                  <c:v>2171</c:v>
                </c:pt>
                <c:pt idx="3">
                  <c:v>3921</c:v>
                </c:pt>
              </c:numCache>
            </c:numRef>
          </c:val>
        </c:ser>
        <c:ser>
          <c:idx val="2"/>
          <c:order val="5"/>
          <c:tx>
            <c:strRef>
              <c:f>'Report Tables'!$A$57</c:f>
              <c:strCache>
                <c:ptCount val="1"/>
                <c:pt idx="0">
                  <c:v>Consumables</c:v>
                </c:pt>
              </c:strCache>
            </c:strRef>
          </c:tx>
          <c:invertIfNegative val="0"/>
          <c:cat>
            <c:numRef>
              <c:f>'Report Graphs'!$B$2:$E$2</c:f>
              <c:numCache>
                <c:formatCode>General</c:formatCode>
                <c:ptCount val="4"/>
                <c:pt idx="0">
                  <c:v>1</c:v>
                </c:pt>
                <c:pt idx="1">
                  <c:v>10</c:v>
                </c:pt>
                <c:pt idx="2">
                  <c:v>50</c:v>
                </c:pt>
                <c:pt idx="3">
                  <c:v>100</c:v>
                </c:pt>
              </c:numCache>
            </c:numRef>
          </c:cat>
          <c:val>
            <c:numRef>
              <c:f>'Report Tables'!$B$57:$E$57</c:f>
              <c:numCache>
                <c:formatCode>"$"#,##0</c:formatCode>
                <c:ptCount val="4"/>
                <c:pt idx="0">
                  <c:v>8</c:v>
                </c:pt>
                <c:pt idx="1">
                  <c:v>80</c:v>
                </c:pt>
                <c:pt idx="2">
                  <c:v>400</c:v>
                </c:pt>
                <c:pt idx="3">
                  <c:v>800</c:v>
                </c:pt>
              </c:numCache>
            </c:numRef>
          </c:val>
        </c:ser>
        <c:dLbls>
          <c:showLegendKey val="0"/>
          <c:showVal val="0"/>
          <c:showCatName val="0"/>
          <c:showSerName val="0"/>
          <c:showPercent val="0"/>
          <c:showBubbleSize val="0"/>
        </c:dLbls>
        <c:gapWidth val="150"/>
        <c:overlap val="100"/>
        <c:axId val="362935808"/>
        <c:axId val="362940904"/>
      </c:barChart>
      <c:catAx>
        <c:axId val="362935808"/>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362940904"/>
        <c:crosses val="autoZero"/>
        <c:auto val="1"/>
        <c:lblAlgn val="ctr"/>
        <c:lblOffset val="100"/>
        <c:noMultiLvlLbl val="0"/>
      </c:catAx>
      <c:valAx>
        <c:axId val="362940904"/>
        <c:scaling>
          <c:orientation val="minMax"/>
          <c:min val="0"/>
        </c:scaling>
        <c:delete val="0"/>
        <c:axPos val="l"/>
        <c:majorGridlines>
          <c:spPr>
            <a:ln>
              <a:solidFill>
                <a:schemeClr val="bg1">
                  <a:lumMod val="85000"/>
                </a:schemeClr>
              </a:solidFill>
            </a:ln>
          </c:spPr>
        </c:majorGridlines>
        <c:title>
          <c:tx>
            <c:strRef>
              <c:f>'Report Tables'!$A$49</c:f>
              <c:strCache>
                <c:ptCount val="1"/>
                <c:pt idx="0">
                  <c:v>Annual Cost in Thousands ($)</c:v>
                </c:pt>
              </c:strCache>
            </c:strRef>
          </c:tx>
          <c:overlay val="0"/>
          <c:txPr>
            <a:bodyPr rot="-5400000" vert="horz"/>
            <a:lstStyle/>
            <a:p>
              <a:pPr>
                <a:defRPr/>
              </a:pPr>
              <a:endParaRPr lang="en-US"/>
            </a:p>
          </c:txPr>
        </c:title>
        <c:numFmt formatCode="&quot;$&quot;#,##0" sourceLinked="1"/>
        <c:majorTickMark val="out"/>
        <c:minorTickMark val="none"/>
        <c:tickLblPos val="nextTo"/>
        <c:crossAx val="362935808"/>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Tables'!$A$52</c:f>
              <c:strCache>
                <c:ptCount val="1"/>
                <c:pt idx="0">
                  <c:v>Insurance</c:v>
                </c:pt>
              </c:strCache>
            </c:strRef>
          </c:tx>
          <c:invertIfNegative val="0"/>
          <c:cat>
            <c:numRef>
              <c:f>'Report Graphs'!$B$2:$E$2</c:f>
              <c:numCache>
                <c:formatCode>General</c:formatCode>
                <c:ptCount val="4"/>
                <c:pt idx="0">
                  <c:v>1</c:v>
                </c:pt>
                <c:pt idx="1">
                  <c:v>10</c:v>
                </c:pt>
                <c:pt idx="2">
                  <c:v>50</c:v>
                </c:pt>
                <c:pt idx="3">
                  <c:v>100</c:v>
                </c:pt>
              </c:numCache>
            </c:numRef>
          </c:cat>
          <c:val>
            <c:numRef>
              <c:f>'Report Tables'!$B$65:$E$65</c:f>
              <c:numCache>
                <c:formatCode>"$"#,##0</c:formatCode>
                <c:ptCount val="4"/>
                <c:pt idx="0">
                  <c:v>500</c:v>
                </c:pt>
                <c:pt idx="1">
                  <c:v>150</c:v>
                </c:pt>
                <c:pt idx="2">
                  <c:v>50</c:v>
                </c:pt>
                <c:pt idx="3">
                  <c:v>20</c:v>
                </c:pt>
              </c:numCache>
            </c:numRef>
          </c:val>
        </c:ser>
        <c:ser>
          <c:idx val="1"/>
          <c:order val="1"/>
          <c:tx>
            <c:strRef>
              <c:f>'Report Tables'!$A$53</c:f>
              <c:strCache>
                <c:ptCount val="1"/>
                <c:pt idx="0">
                  <c:v>Environmental Monitoring &amp; Regulatory Compliance</c:v>
                </c:pt>
              </c:strCache>
            </c:strRef>
          </c:tx>
          <c:invertIfNegative val="0"/>
          <c:cat>
            <c:numRef>
              <c:f>'Report Graphs'!$B$2:$E$2</c:f>
              <c:numCache>
                <c:formatCode>General</c:formatCode>
                <c:ptCount val="4"/>
                <c:pt idx="0">
                  <c:v>1</c:v>
                </c:pt>
                <c:pt idx="1">
                  <c:v>10</c:v>
                </c:pt>
                <c:pt idx="2">
                  <c:v>50</c:v>
                </c:pt>
                <c:pt idx="3">
                  <c:v>100</c:v>
                </c:pt>
              </c:numCache>
            </c:numRef>
          </c:cat>
          <c:val>
            <c:numRef>
              <c:f>'Report Tables'!$B$66:$E$66</c:f>
              <c:numCache>
                <c:formatCode>"$"#,##0</c:formatCode>
                <c:ptCount val="4"/>
                <c:pt idx="0">
                  <c:v>2140</c:v>
                </c:pt>
                <c:pt idx="1">
                  <c:v>340</c:v>
                </c:pt>
                <c:pt idx="2">
                  <c:v>70</c:v>
                </c:pt>
                <c:pt idx="3">
                  <c:v>30</c:v>
                </c:pt>
              </c:numCache>
            </c:numRef>
          </c:val>
        </c:ser>
        <c:ser>
          <c:idx val="3"/>
          <c:order val="2"/>
          <c:tx>
            <c:strRef>
              <c:f>'Report Tables'!$A$54</c:f>
              <c:strCache>
                <c:ptCount val="1"/>
                <c:pt idx="0">
                  <c:v>Marine Operations</c:v>
                </c:pt>
              </c:strCache>
            </c:strRef>
          </c:tx>
          <c:spPr>
            <a:solidFill>
              <a:srgbClr val="FFC000"/>
            </a:solidFill>
          </c:spPr>
          <c:invertIfNegative val="0"/>
          <c:cat>
            <c:numRef>
              <c:f>'Report Graphs'!$B$2:$E$2</c:f>
              <c:numCache>
                <c:formatCode>General</c:formatCode>
                <c:ptCount val="4"/>
                <c:pt idx="0">
                  <c:v>1</c:v>
                </c:pt>
                <c:pt idx="1">
                  <c:v>10</c:v>
                </c:pt>
                <c:pt idx="2">
                  <c:v>50</c:v>
                </c:pt>
                <c:pt idx="3">
                  <c:v>100</c:v>
                </c:pt>
              </c:numCache>
            </c:numRef>
          </c:cat>
          <c:val>
            <c:numRef>
              <c:f>'Report Tables'!$B$67:$E$67</c:f>
              <c:numCache>
                <c:formatCode>"$"#,##0</c:formatCode>
                <c:ptCount val="4"/>
                <c:pt idx="0">
                  <c:v>80</c:v>
                </c:pt>
                <c:pt idx="1">
                  <c:v>80</c:v>
                </c:pt>
                <c:pt idx="2">
                  <c:v>30</c:v>
                </c:pt>
                <c:pt idx="3">
                  <c:v>30</c:v>
                </c:pt>
              </c:numCache>
            </c:numRef>
          </c:val>
        </c:ser>
        <c:ser>
          <c:idx val="4"/>
          <c:order val="3"/>
          <c:tx>
            <c:strRef>
              <c:f>'Report Tables'!$A$55</c:f>
              <c:strCache>
                <c:ptCount val="1"/>
                <c:pt idx="0">
                  <c:v>Shoreside Operations</c:v>
                </c:pt>
              </c:strCache>
            </c:strRef>
          </c:tx>
          <c:spPr>
            <a:solidFill>
              <a:srgbClr val="00B050"/>
            </a:solidFill>
          </c:spPr>
          <c:invertIfNegative val="0"/>
          <c:cat>
            <c:numRef>
              <c:f>'Report Graphs'!$B$2:$E$2</c:f>
              <c:numCache>
                <c:formatCode>General</c:formatCode>
                <c:ptCount val="4"/>
                <c:pt idx="0">
                  <c:v>1</c:v>
                </c:pt>
                <c:pt idx="1">
                  <c:v>10</c:v>
                </c:pt>
                <c:pt idx="2">
                  <c:v>50</c:v>
                </c:pt>
                <c:pt idx="3">
                  <c:v>100</c:v>
                </c:pt>
              </c:numCache>
            </c:numRef>
          </c:cat>
          <c:val>
            <c:numRef>
              <c:f>'Report Tables'!$B$68:$E$68</c:f>
              <c:numCache>
                <c:formatCode>"$"#,##0</c:formatCode>
                <c:ptCount val="4"/>
                <c:pt idx="0">
                  <c:v>430</c:v>
                </c:pt>
                <c:pt idx="1">
                  <c:v>120</c:v>
                </c:pt>
                <c:pt idx="2">
                  <c:v>30</c:v>
                </c:pt>
                <c:pt idx="3">
                  <c:v>20</c:v>
                </c:pt>
              </c:numCache>
            </c:numRef>
          </c:val>
        </c:ser>
        <c:ser>
          <c:idx val="5"/>
          <c:order val="4"/>
          <c:tx>
            <c:strRef>
              <c:f>'Report Tables'!$A$56</c:f>
              <c:strCache>
                <c:ptCount val="1"/>
                <c:pt idx="0">
                  <c:v>Replacement Parts</c:v>
                </c:pt>
              </c:strCache>
            </c:strRef>
          </c:tx>
          <c:invertIfNegative val="0"/>
          <c:cat>
            <c:numRef>
              <c:f>'Report Graphs'!$B$2:$E$2</c:f>
              <c:numCache>
                <c:formatCode>General</c:formatCode>
                <c:ptCount val="4"/>
                <c:pt idx="0">
                  <c:v>1</c:v>
                </c:pt>
                <c:pt idx="1">
                  <c:v>10</c:v>
                </c:pt>
                <c:pt idx="2">
                  <c:v>50</c:v>
                </c:pt>
                <c:pt idx="3">
                  <c:v>100</c:v>
                </c:pt>
              </c:numCache>
            </c:numRef>
          </c:cat>
          <c:val>
            <c:numRef>
              <c:f>'Report Tables'!$B$69:$E$69</c:f>
              <c:numCache>
                <c:formatCode>"$"#,##0</c:formatCode>
                <c:ptCount val="4"/>
                <c:pt idx="0">
                  <c:v>150</c:v>
                </c:pt>
                <c:pt idx="1">
                  <c:v>140</c:v>
                </c:pt>
                <c:pt idx="2">
                  <c:v>130</c:v>
                </c:pt>
                <c:pt idx="3">
                  <c:v>120</c:v>
                </c:pt>
              </c:numCache>
            </c:numRef>
          </c:val>
        </c:ser>
        <c:ser>
          <c:idx val="2"/>
          <c:order val="5"/>
          <c:tx>
            <c:strRef>
              <c:f>'Report Tables'!$A$57</c:f>
              <c:strCache>
                <c:ptCount val="1"/>
                <c:pt idx="0">
                  <c:v>Consumables</c:v>
                </c:pt>
              </c:strCache>
            </c:strRef>
          </c:tx>
          <c:invertIfNegative val="0"/>
          <c:cat>
            <c:numRef>
              <c:f>'Report Graphs'!$B$2:$E$2</c:f>
              <c:numCache>
                <c:formatCode>General</c:formatCode>
                <c:ptCount val="4"/>
                <c:pt idx="0">
                  <c:v>1</c:v>
                </c:pt>
                <c:pt idx="1">
                  <c:v>10</c:v>
                </c:pt>
                <c:pt idx="2">
                  <c:v>50</c:v>
                </c:pt>
                <c:pt idx="3">
                  <c:v>100</c:v>
                </c:pt>
              </c:numCache>
            </c:numRef>
          </c:cat>
          <c:val>
            <c:numRef>
              <c:f>'Report Tables'!$B$70:$E$70</c:f>
              <c:numCache>
                <c:formatCode>"$"#,##0</c:formatCode>
                <c:ptCount val="4"/>
                <c:pt idx="0">
                  <c:v>20</c:v>
                </c:pt>
                <c:pt idx="1">
                  <c:v>20</c:v>
                </c:pt>
                <c:pt idx="2">
                  <c:v>20</c:v>
                </c:pt>
                <c:pt idx="3">
                  <c:v>20</c:v>
                </c:pt>
              </c:numCache>
            </c:numRef>
          </c:val>
        </c:ser>
        <c:dLbls>
          <c:showLegendKey val="0"/>
          <c:showVal val="0"/>
          <c:showCatName val="0"/>
          <c:showSerName val="0"/>
          <c:showPercent val="0"/>
          <c:showBubbleSize val="0"/>
        </c:dLbls>
        <c:gapWidth val="150"/>
        <c:overlap val="100"/>
        <c:axId val="362938552"/>
        <c:axId val="362940512"/>
      </c:barChart>
      <c:catAx>
        <c:axId val="362938552"/>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362940512"/>
        <c:crosses val="autoZero"/>
        <c:auto val="1"/>
        <c:lblAlgn val="ctr"/>
        <c:lblOffset val="100"/>
        <c:noMultiLvlLbl val="0"/>
      </c:catAx>
      <c:valAx>
        <c:axId val="362940512"/>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Opex ($ / kW-yr)</a:t>
                </a:r>
              </a:p>
            </c:rich>
          </c:tx>
          <c:layout>
            <c:manualLayout>
              <c:xMode val="edge"/>
              <c:yMode val="edge"/>
              <c:x val="9.1848450057405284E-3"/>
              <c:y val="0.31372635021380851"/>
            </c:manualLayout>
          </c:layout>
          <c:overlay val="0"/>
        </c:title>
        <c:numFmt formatCode="&quot;$&quot;#,##0" sourceLinked="1"/>
        <c:majorTickMark val="out"/>
        <c:minorTickMark val="none"/>
        <c:tickLblPos val="nextTo"/>
        <c:crossAx val="362938552"/>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Tables'!$A$52</c:f>
              <c:strCache>
                <c:ptCount val="1"/>
                <c:pt idx="0">
                  <c:v>Insurance</c:v>
                </c:pt>
              </c:strCache>
            </c:strRef>
          </c:tx>
          <c:invertIfNegative val="0"/>
          <c:cat>
            <c:numRef>
              <c:f>'Report Graphs'!$C$2:$E$2</c:f>
              <c:numCache>
                <c:formatCode>General</c:formatCode>
                <c:ptCount val="3"/>
                <c:pt idx="0">
                  <c:v>10</c:v>
                </c:pt>
                <c:pt idx="1">
                  <c:v>50</c:v>
                </c:pt>
                <c:pt idx="2">
                  <c:v>100</c:v>
                </c:pt>
              </c:numCache>
            </c:numRef>
          </c:cat>
          <c:val>
            <c:numRef>
              <c:f>('Report Tables'!$B$79,'Report Tables'!$D$79,'Report Tables'!$F$79)</c:f>
              <c:numCache>
                <c:formatCode>0.0</c:formatCode>
                <c:ptCount val="3"/>
                <c:pt idx="0">
                  <c:v>6.0345859511330335</c:v>
                </c:pt>
                <c:pt idx="1">
                  <c:v>1.8807988580892701</c:v>
                </c:pt>
                <c:pt idx="2">
                  <c:v>0.89906357242041568</c:v>
                </c:pt>
              </c:numCache>
            </c:numRef>
          </c:val>
        </c:ser>
        <c:ser>
          <c:idx val="1"/>
          <c:order val="1"/>
          <c:tx>
            <c:strRef>
              <c:f>'Report Tables'!$A$53</c:f>
              <c:strCache>
                <c:ptCount val="1"/>
                <c:pt idx="0">
                  <c:v>Environmental Monitoring &amp; Regulatory Compliance</c:v>
                </c:pt>
              </c:strCache>
            </c:strRef>
          </c:tx>
          <c:invertIfNegative val="0"/>
          <c:cat>
            <c:numRef>
              <c:f>'Report Graphs'!$C$2:$E$2</c:f>
              <c:numCache>
                <c:formatCode>General</c:formatCode>
                <c:ptCount val="3"/>
                <c:pt idx="0">
                  <c:v>10</c:v>
                </c:pt>
                <c:pt idx="1">
                  <c:v>50</c:v>
                </c:pt>
                <c:pt idx="2">
                  <c:v>100</c:v>
                </c:pt>
              </c:numCache>
            </c:numRef>
          </c:cat>
          <c:val>
            <c:numRef>
              <c:f>('Report Tables'!$B$80,'Report Tables'!$D$80,'Report Tables'!$F$80)</c:f>
              <c:numCache>
                <c:formatCode>0.0</c:formatCode>
                <c:ptCount val="3"/>
                <c:pt idx="0">
                  <c:v>13.698428147865958</c:v>
                </c:pt>
                <c:pt idx="1">
                  <c:v>2.7396856295731915</c:v>
                </c:pt>
                <c:pt idx="2">
                  <c:v>1.3698428147865958</c:v>
                </c:pt>
              </c:numCache>
            </c:numRef>
          </c:val>
        </c:ser>
        <c:ser>
          <c:idx val="3"/>
          <c:order val="2"/>
          <c:tx>
            <c:strRef>
              <c:f>'Report Tables'!$A$54</c:f>
              <c:strCache>
                <c:ptCount val="1"/>
                <c:pt idx="0">
                  <c:v>Marine Operations</c:v>
                </c:pt>
              </c:strCache>
            </c:strRef>
          </c:tx>
          <c:spPr>
            <a:solidFill>
              <a:srgbClr val="FFC000"/>
            </a:solidFill>
          </c:spPr>
          <c:invertIfNegative val="0"/>
          <c:cat>
            <c:numRef>
              <c:f>'Report Graphs'!$C$2:$E$2</c:f>
              <c:numCache>
                <c:formatCode>General</c:formatCode>
                <c:ptCount val="3"/>
                <c:pt idx="0">
                  <c:v>10</c:v>
                </c:pt>
                <c:pt idx="1">
                  <c:v>50</c:v>
                </c:pt>
                <c:pt idx="2">
                  <c:v>100</c:v>
                </c:pt>
              </c:numCache>
            </c:numRef>
          </c:cat>
          <c:val>
            <c:numRef>
              <c:f>('Report Tables'!$B$81,'Report Tables'!$D$81,'Report Tables'!$F$81)</c:f>
              <c:numCache>
                <c:formatCode>0.0</c:formatCode>
                <c:ptCount val="3"/>
                <c:pt idx="0">
                  <c:v>3.2466863288193637</c:v>
                </c:pt>
                <c:pt idx="1">
                  <c:v>1.3742908324902738</c:v>
                </c:pt>
                <c:pt idx="2">
                  <c:v>1.3742908324902738</c:v>
                </c:pt>
              </c:numCache>
            </c:numRef>
          </c:val>
        </c:ser>
        <c:ser>
          <c:idx val="4"/>
          <c:order val="3"/>
          <c:tx>
            <c:strRef>
              <c:f>'Report Tables'!$A$55</c:f>
              <c:strCache>
                <c:ptCount val="1"/>
                <c:pt idx="0">
                  <c:v>Shoreside Operations</c:v>
                </c:pt>
              </c:strCache>
            </c:strRef>
          </c:tx>
          <c:spPr>
            <a:solidFill>
              <a:srgbClr val="00B050"/>
            </a:solidFill>
          </c:spPr>
          <c:invertIfNegative val="0"/>
          <c:cat>
            <c:numRef>
              <c:f>'Report Graphs'!$C$2:$E$2</c:f>
              <c:numCache>
                <c:formatCode>General</c:formatCode>
                <c:ptCount val="3"/>
                <c:pt idx="0">
                  <c:v>10</c:v>
                </c:pt>
                <c:pt idx="1">
                  <c:v>50</c:v>
                </c:pt>
                <c:pt idx="2">
                  <c:v>100</c:v>
                </c:pt>
              </c:numCache>
            </c:numRef>
          </c:cat>
          <c:val>
            <c:numRef>
              <c:f>('Report Tables'!$B$82,'Report Tables'!$D$82,'Report Tables'!$F$82)</c:f>
              <c:numCache>
                <c:formatCode>0.0</c:formatCode>
                <c:ptCount val="3"/>
                <c:pt idx="0">
                  <c:v>4.8871494734566632</c:v>
                </c:pt>
                <c:pt idx="1">
                  <c:v>1.1112516844619926</c:v>
                </c:pt>
                <c:pt idx="2">
                  <c:v>0.82439120206132055</c:v>
                </c:pt>
              </c:numCache>
            </c:numRef>
          </c:val>
        </c:ser>
        <c:ser>
          <c:idx val="5"/>
          <c:order val="4"/>
          <c:tx>
            <c:strRef>
              <c:f>'Report Tables'!$A$56</c:f>
              <c:strCache>
                <c:ptCount val="1"/>
                <c:pt idx="0">
                  <c:v>Replacement Parts</c:v>
                </c:pt>
              </c:strCache>
            </c:strRef>
          </c:tx>
          <c:invertIfNegative val="0"/>
          <c:cat>
            <c:numRef>
              <c:f>'Report Graphs'!$C$2:$E$2</c:f>
              <c:numCache>
                <c:formatCode>General</c:formatCode>
                <c:ptCount val="3"/>
                <c:pt idx="0">
                  <c:v>10</c:v>
                </c:pt>
                <c:pt idx="1">
                  <c:v>50</c:v>
                </c:pt>
                <c:pt idx="2">
                  <c:v>100</c:v>
                </c:pt>
              </c:numCache>
            </c:numRef>
          </c:cat>
          <c:val>
            <c:numRef>
              <c:f>('Report Tables'!$B$83,'Report Tables'!$D$83,'Report Tables'!$F$83)</c:f>
              <c:numCache>
                <c:formatCode>0.0</c:formatCode>
                <c:ptCount val="3"/>
                <c:pt idx="0">
                  <c:v>5.6545516507906095</c:v>
                </c:pt>
                <c:pt idx="1">
                  <c:v>5.3063640900375093</c:v>
                </c:pt>
                <c:pt idx="2">
                  <c:v>4.7912420244800291</c:v>
                </c:pt>
              </c:numCache>
            </c:numRef>
          </c:val>
        </c:ser>
        <c:ser>
          <c:idx val="2"/>
          <c:order val="5"/>
          <c:tx>
            <c:strRef>
              <c:f>'Report Tables'!$A$57</c:f>
              <c:strCache>
                <c:ptCount val="1"/>
                <c:pt idx="0">
                  <c:v>Consumables</c:v>
                </c:pt>
              </c:strCache>
            </c:strRef>
          </c:tx>
          <c:invertIfNegative val="0"/>
          <c:cat>
            <c:numRef>
              <c:f>'Report Graphs'!$C$2:$E$2</c:f>
              <c:numCache>
                <c:formatCode>General</c:formatCode>
                <c:ptCount val="3"/>
                <c:pt idx="0">
                  <c:v>10</c:v>
                </c:pt>
                <c:pt idx="1">
                  <c:v>50</c:v>
                </c:pt>
                <c:pt idx="2">
                  <c:v>100</c:v>
                </c:pt>
              </c:numCache>
            </c:numRef>
          </c:cat>
          <c:val>
            <c:numRef>
              <c:f>('Report Tables'!$B$84,'Report Tables'!$D$84,'Report Tables'!$F$84)</c:f>
              <c:numCache>
                <c:formatCode>0.0</c:formatCode>
                <c:ptCount val="3"/>
                <c:pt idx="0">
                  <c:v>0.97758630850069284</c:v>
                </c:pt>
                <c:pt idx="1">
                  <c:v>0.97758630850069284</c:v>
                </c:pt>
                <c:pt idx="2">
                  <c:v>0.97758630850069284</c:v>
                </c:pt>
              </c:numCache>
            </c:numRef>
          </c:val>
        </c:ser>
        <c:dLbls>
          <c:showLegendKey val="0"/>
          <c:showVal val="0"/>
          <c:showCatName val="0"/>
          <c:showSerName val="0"/>
          <c:showPercent val="0"/>
          <c:showBubbleSize val="0"/>
        </c:dLbls>
        <c:gapWidth val="150"/>
        <c:overlap val="100"/>
        <c:axId val="362941296"/>
        <c:axId val="362936592"/>
      </c:barChart>
      <c:catAx>
        <c:axId val="362941296"/>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overlay val="0"/>
        </c:title>
        <c:numFmt formatCode="0" sourceLinked="0"/>
        <c:majorTickMark val="out"/>
        <c:minorTickMark val="none"/>
        <c:tickLblPos val="nextTo"/>
        <c:crossAx val="362936592"/>
        <c:crosses val="autoZero"/>
        <c:auto val="1"/>
        <c:lblAlgn val="ctr"/>
        <c:lblOffset val="100"/>
        <c:noMultiLvlLbl val="0"/>
      </c:catAx>
      <c:valAx>
        <c:axId val="362936592"/>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9.1848450057405284E-3"/>
              <c:y val="0.31372635021380851"/>
            </c:manualLayout>
          </c:layout>
          <c:overlay val="0"/>
        </c:title>
        <c:numFmt formatCode="0.0" sourceLinked="1"/>
        <c:majorTickMark val="out"/>
        <c:minorTickMark val="none"/>
        <c:tickLblPos val="nextTo"/>
        <c:crossAx val="362941296"/>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06862006326881E-2"/>
          <c:y val="3.7855439125480686E-2"/>
          <c:w val="0.85855879665527246"/>
          <c:h val="0.81786333241008191"/>
        </c:manualLayout>
      </c:layout>
      <c:scatterChart>
        <c:scatterStyle val="smoothMarker"/>
        <c:varyColors val="0"/>
        <c:ser>
          <c:idx val="0"/>
          <c:order val="0"/>
          <c:spPr>
            <a:ln w="31750">
              <a:solidFill>
                <a:srgbClr val="0070C0"/>
              </a:solidFill>
              <a:prstDash val="solid"/>
            </a:ln>
          </c:spPr>
          <c:marker>
            <c:symbol val="none"/>
          </c:marker>
          <c:xVal>
            <c:numRef>
              <c:f>'Report Graphs'!$B$204:$U$204</c:f>
              <c:numCache>
                <c:formatCode>General</c:formatCode>
                <c:ptCount val="20"/>
                <c:pt idx="0" formatCode="#,##0.0">
                  <c:v>36.560460667048353</c:v>
                </c:pt>
                <c:pt idx="1">
                  <c:v>43.907130154404705</c:v>
                </c:pt>
                <c:pt idx="2">
                  <c:v>51.253799641761056</c:v>
                </c:pt>
                <c:pt idx="3">
                  <c:v>58.600469129117407</c:v>
                </c:pt>
                <c:pt idx="4">
                  <c:v>65.947138616473751</c:v>
                </c:pt>
                <c:pt idx="5">
                  <c:v>73.293808103830102</c:v>
                </c:pt>
                <c:pt idx="6">
                  <c:v>80.640477591186453</c:v>
                </c:pt>
                <c:pt idx="7">
                  <c:v>87.987147078542804</c:v>
                </c:pt>
                <c:pt idx="8">
                  <c:v>95.333816565899156</c:v>
                </c:pt>
                <c:pt idx="9">
                  <c:v>102.68048605325551</c:v>
                </c:pt>
                <c:pt idx="10">
                  <c:v>110.02715554061186</c:v>
                </c:pt>
                <c:pt idx="11">
                  <c:v>117.37382502796821</c:v>
                </c:pt>
                <c:pt idx="12">
                  <c:v>124.72049451532456</c:v>
                </c:pt>
                <c:pt idx="13">
                  <c:v>132.0671640026809</c:v>
                </c:pt>
                <c:pt idx="14">
                  <c:v>139.41383349003723</c:v>
                </c:pt>
                <c:pt idx="15">
                  <c:v>146.76050297739357</c:v>
                </c:pt>
                <c:pt idx="16">
                  <c:v>154.10717246474991</c:v>
                </c:pt>
                <c:pt idx="17">
                  <c:v>161.45384195210625</c:v>
                </c:pt>
                <c:pt idx="18">
                  <c:v>168.80051143946258</c:v>
                </c:pt>
                <c:pt idx="19">
                  <c:v>176.14718092681898</c:v>
                </c:pt>
              </c:numCache>
            </c:numRef>
          </c:xVal>
          <c:yVal>
            <c:numRef>
              <c:f>'Report Graphs'!$B$205:$U$205</c:f>
              <c:numCache>
                <c:formatCode>0%</c:formatCode>
                <c:ptCount val="20"/>
                <c:pt idx="0">
                  <c:v>0</c:v>
                </c:pt>
                <c:pt idx="1">
                  <c:v>0</c:v>
                </c:pt>
                <c:pt idx="2">
                  <c:v>3.5200000000000002E-2</c:v>
                </c:pt>
                <c:pt idx="3">
                  <c:v>0.16919999999999999</c:v>
                </c:pt>
                <c:pt idx="4">
                  <c:v>0.35659999999999997</c:v>
                </c:pt>
                <c:pt idx="5">
                  <c:v>0.55179999999999996</c:v>
                </c:pt>
                <c:pt idx="6">
                  <c:v>0.70179999999999998</c:v>
                </c:pt>
                <c:pt idx="7">
                  <c:v>0.80400000000000005</c:v>
                </c:pt>
                <c:pt idx="8">
                  <c:v>0.87539999999999996</c:v>
                </c:pt>
                <c:pt idx="9">
                  <c:v>0.92259999999999998</c:v>
                </c:pt>
                <c:pt idx="10">
                  <c:v>0.95299999999999996</c:v>
                </c:pt>
                <c:pt idx="11">
                  <c:v>0.97319999999999995</c:v>
                </c:pt>
                <c:pt idx="12">
                  <c:v>0.98540000000000005</c:v>
                </c:pt>
                <c:pt idx="13">
                  <c:v>0.99539999999999995</c:v>
                </c:pt>
                <c:pt idx="14">
                  <c:v>0.99860000000000004</c:v>
                </c:pt>
                <c:pt idx="15">
                  <c:v>1</c:v>
                </c:pt>
                <c:pt idx="16">
                  <c:v>1</c:v>
                </c:pt>
                <c:pt idx="17">
                  <c:v>1</c:v>
                </c:pt>
                <c:pt idx="18">
                  <c:v>1</c:v>
                </c:pt>
                <c:pt idx="19">
                  <c:v>1</c:v>
                </c:pt>
              </c:numCache>
            </c:numRef>
          </c:yVal>
          <c:smooth val="1"/>
        </c:ser>
        <c:ser>
          <c:idx val="1"/>
          <c:order val="1"/>
          <c:spPr>
            <a:ln>
              <a:prstDash val="dash"/>
            </a:ln>
          </c:spPr>
          <c:marker>
            <c:symbol val="none"/>
          </c:marker>
          <c:xVal>
            <c:numRef>
              <c:f>('Report Graphs'!$B$209,'Report Graphs'!$B$209)</c:f>
              <c:numCache>
                <c:formatCode>#,##0.00</c:formatCode>
                <c:ptCount val="2"/>
                <c:pt idx="0">
                  <c:v>54.806514739990234</c:v>
                </c:pt>
                <c:pt idx="1">
                  <c:v>54.806514739990234</c:v>
                </c:pt>
              </c:numCache>
            </c:numRef>
          </c:xVal>
          <c:yVal>
            <c:numRef>
              <c:f>('Report Graphs'!$B$205,'Report Graphs'!$U$205)</c:f>
              <c:numCache>
                <c:formatCode>0%</c:formatCode>
                <c:ptCount val="2"/>
                <c:pt idx="0">
                  <c:v>0</c:v>
                </c:pt>
                <c:pt idx="1">
                  <c:v>1</c:v>
                </c:pt>
              </c:numCache>
            </c:numRef>
          </c:yVal>
          <c:smooth val="1"/>
        </c:ser>
        <c:ser>
          <c:idx val="2"/>
          <c:order val="2"/>
          <c:spPr>
            <a:ln>
              <a:prstDash val="dash"/>
            </a:ln>
          </c:spPr>
          <c:marker>
            <c:symbol val="none"/>
          </c:marker>
          <c:xVal>
            <c:numRef>
              <c:f>('Report Graphs'!$B$211,'Report Graphs'!$B$211)</c:f>
              <c:numCache>
                <c:formatCode>#,##0.00</c:formatCode>
                <c:ptCount val="2"/>
                <c:pt idx="0">
                  <c:v>99.162803649902344</c:v>
                </c:pt>
                <c:pt idx="1">
                  <c:v>99.162803649902344</c:v>
                </c:pt>
              </c:numCache>
            </c:numRef>
          </c:xVal>
          <c:yVal>
            <c:numRef>
              <c:f>('Report Graphs'!$B$205,'Report Graphs'!$U$205)</c:f>
              <c:numCache>
                <c:formatCode>0%</c:formatCode>
                <c:ptCount val="2"/>
                <c:pt idx="0">
                  <c:v>0</c:v>
                </c:pt>
                <c:pt idx="1">
                  <c:v>1</c:v>
                </c:pt>
              </c:numCache>
            </c:numRef>
          </c:yVal>
          <c:smooth val="1"/>
        </c:ser>
        <c:dLbls>
          <c:showLegendKey val="0"/>
          <c:showVal val="0"/>
          <c:showCatName val="0"/>
          <c:showSerName val="0"/>
          <c:showPercent val="0"/>
          <c:showBubbleSize val="0"/>
        </c:dLbls>
        <c:axId val="362941688"/>
        <c:axId val="362942864"/>
      </c:scatterChart>
      <c:valAx>
        <c:axId val="362941688"/>
        <c:scaling>
          <c:orientation val="minMax"/>
          <c:min val="10"/>
        </c:scaling>
        <c:delete val="0"/>
        <c:axPos val="b"/>
        <c:majorGridlines>
          <c:spPr>
            <a:ln>
              <a:solidFill>
                <a:schemeClr val="bg1">
                  <a:lumMod val="85000"/>
                </a:schemeClr>
              </a:solidFill>
            </a:ln>
          </c:spPr>
        </c:majorGridlines>
        <c:title>
          <c:tx>
            <c:rich>
              <a:bodyPr/>
              <a:lstStyle/>
              <a:p>
                <a:pPr>
                  <a:defRPr/>
                </a:pPr>
                <a:r>
                  <a:rPr lang="en-US"/>
                  <a:t>Cost of Electricity (cents / kWh)</a:t>
                </a:r>
              </a:p>
            </c:rich>
          </c:tx>
          <c:overlay val="0"/>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2942864"/>
        <c:crosses val="autoZero"/>
        <c:crossBetween val="midCat"/>
      </c:valAx>
      <c:valAx>
        <c:axId val="362942864"/>
        <c:scaling>
          <c:orientation val="minMax"/>
          <c:max val="1"/>
          <c:min val="0"/>
        </c:scaling>
        <c:delete val="0"/>
        <c:axPos val="l"/>
        <c:majorGridlines>
          <c:spPr>
            <a:ln>
              <a:solidFill>
                <a:schemeClr val="bg1">
                  <a:lumMod val="85000"/>
                </a:schemeClr>
              </a:solidFill>
            </a:ln>
          </c:spPr>
        </c:majorGridlines>
        <c:title>
          <c:tx>
            <c:rich>
              <a:bodyPr rot="-5400000" vert="horz"/>
              <a:lstStyle/>
              <a:p>
                <a:pPr>
                  <a:defRPr/>
                </a:pPr>
                <a:r>
                  <a:rPr lang="en-US"/>
                  <a:t>Cumulative Probability</a:t>
                </a:r>
              </a:p>
            </c:rich>
          </c:tx>
          <c:layout>
            <c:manualLayout>
              <c:xMode val="edge"/>
              <c:yMode val="edge"/>
              <c:x val="1.4563033989683331E-2"/>
              <c:y val="0.26342025086060222"/>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2941688"/>
        <c:crosses val="autoZero"/>
        <c:crossBetween val="midCat"/>
      </c:valAx>
      <c:spPr>
        <a:solidFill>
          <a:srgbClr val="FFFFFF"/>
        </a:solidFill>
        <a:ln w="3175">
          <a:solidFill>
            <a:srgbClr val="000000"/>
          </a:solidFill>
          <a:prstDash val="solid"/>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Tables'!$A$92</c:f>
              <c:strCache>
                <c:ptCount val="1"/>
                <c:pt idx="0">
                  <c:v>Device</c:v>
                </c:pt>
              </c:strCache>
            </c:strRef>
          </c:tx>
          <c:invertIfNegative val="0"/>
          <c:cat>
            <c:numRef>
              <c:f>'Report Graphs'!$C$2:$E$2</c:f>
              <c:numCache>
                <c:formatCode>General</c:formatCode>
                <c:ptCount val="3"/>
                <c:pt idx="0">
                  <c:v>10</c:v>
                </c:pt>
                <c:pt idx="1">
                  <c:v>50</c:v>
                </c:pt>
                <c:pt idx="2">
                  <c:v>100</c:v>
                </c:pt>
              </c:numCache>
            </c:numRef>
          </c:cat>
          <c:val>
            <c:numRef>
              <c:f>('Report Tables'!$B$92,'Report Tables'!$D$92,'Report Tables'!$F$92)</c:f>
              <c:numCache>
                <c:formatCode>0.0</c:formatCode>
                <c:ptCount val="3"/>
                <c:pt idx="0">
                  <c:v>12.24819706635974</c:v>
                </c:pt>
                <c:pt idx="1">
                  <c:v>10.69369812352304</c:v>
                </c:pt>
                <c:pt idx="2">
                  <c:v>10.200046965990063</c:v>
                </c:pt>
              </c:numCache>
            </c:numRef>
          </c:val>
        </c:ser>
        <c:ser>
          <c:idx val="1"/>
          <c:order val="1"/>
          <c:tx>
            <c:strRef>
              <c:f>'Report Tables'!$A$93</c:f>
              <c:strCache>
                <c:ptCount val="1"/>
                <c:pt idx="0">
                  <c:v>Infrastructure</c:v>
                </c:pt>
              </c:strCache>
            </c:strRef>
          </c:tx>
          <c:invertIfNegative val="0"/>
          <c:cat>
            <c:numRef>
              <c:f>'Report Graphs'!$C$2:$E$2</c:f>
              <c:numCache>
                <c:formatCode>General</c:formatCode>
                <c:ptCount val="3"/>
                <c:pt idx="0">
                  <c:v>10</c:v>
                </c:pt>
                <c:pt idx="1">
                  <c:v>50</c:v>
                </c:pt>
                <c:pt idx="2">
                  <c:v>100</c:v>
                </c:pt>
              </c:numCache>
            </c:numRef>
          </c:cat>
          <c:val>
            <c:numRef>
              <c:f>('Report Tables'!$B$93,'Report Tables'!$D$93,'Report Tables'!$F$93)</c:f>
              <c:numCache>
                <c:formatCode>0.0</c:formatCode>
                <c:ptCount val="3"/>
                <c:pt idx="0">
                  <c:v>6.4139437700730451</c:v>
                </c:pt>
                <c:pt idx="1">
                  <c:v>1.9970328627313854</c:v>
                </c:pt>
                <c:pt idx="2">
                  <c:v>2.2844725650198443</c:v>
                </c:pt>
              </c:numCache>
            </c:numRef>
          </c:val>
        </c:ser>
        <c:ser>
          <c:idx val="3"/>
          <c:order val="2"/>
          <c:tx>
            <c:strRef>
              <c:f>'Report Tables'!$A$94</c:f>
              <c:strCache>
                <c:ptCount val="1"/>
                <c:pt idx="0">
                  <c:v>Development</c:v>
                </c:pt>
              </c:strCache>
            </c:strRef>
          </c:tx>
          <c:spPr>
            <a:solidFill>
              <a:srgbClr val="FFC000"/>
            </a:solidFill>
          </c:spPr>
          <c:invertIfNegative val="0"/>
          <c:cat>
            <c:numRef>
              <c:f>'Report Graphs'!$C$2:$E$2</c:f>
              <c:numCache>
                <c:formatCode>General</c:formatCode>
                <c:ptCount val="3"/>
                <c:pt idx="0">
                  <c:v>10</c:v>
                </c:pt>
                <c:pt idx="1">
                  <c:v>50</c:v>
                </c:pt>
                <c:pt idx="2">
                  <c:v>100</c:v>
                </c:pt>
              </c:numCache>
            </c:numRef>
          </c:cat>
          <c:val>
            <c:numRef>
              <c:f>('Report Tables'!$B$94,'Report Tables'!$D$94,'Report Tables'!$F$94)</c:f>
              <c:numCache>
                <c:formatCode>0.0</c:formatCode>
                <c:ptCount val="3"/>
                <c:pt idx="0">
                  <c:v>10.702359576577937</c:v>
                </c:pt>
                <c:pt idx="1">
                  <c:v>2.3747241561443286</c:v>
                </c:pt>
                <c:pt idx="2">
                  <c:v>1.1687841624393867</c:v>
                </c:pt>
              </c:numCache>
            </c:numRef>
          </c:val>
        </c:ser>
        <c:ser>
          <c:idx val="4"/>
          <c:order val="3"/>
          <c:tx>
            <c:strRef>
              <c:f>'Report Tables'!$A$95</c:f>
              <c:strCache>
                <c:ptCount val="1"/>
                <c:pt idx="0">
                  <c:v>Installation</c:v>
                </c:pt>
              </c:strCache>
            </c:strRef>
          </c:tx>
          <c:spPr>
            <a:solidFill>
              <a:srgbClr val="00B050"/>
            </a:solidFill>
          </c:spPr>
          <c:invertIfNegative val="0"/>
          <c:cat>
            <c:numRef>
              <c:f>'Report Graphs'!$C$2:$E$2</c:f>
              <c:numCache>
                <c:formatCode>General</c:formatCode>
                <c:ptCount val="3"/>
                <c:pt idx="0">
                  <c:v>10</c:v>
                </c:pt>
                <c:pt idx="1">
                  <c:v>50</c:v>
                </c:pt>
                <c:pt idx="2">
                  <c:v>100</c:v>
                </c:pt>
              </c:numCache>
            </c:numRef>
          </c:cat>
          <c:val>
            <c:numRef>
              <c:f>('Report Tables'!$B$95,'Report Tables'!$D$95,'Report Tables'!$F$95)</c:f>
              <c:numCache>
                <c:formatCode>0.0</c:formatCode>
                <c:ptCount val="3"/>
                <c:pt idx="0">
                  <c:v>13.924623299685598</c:v>
                </c:pt>
                <c:pt idx="1">
                  <c:v>7.6218966811096909</c:v>
                </c:pt>
                <c:pt idx="2">
                  <c:v>6.9352536332710759</c:v>
                </c:pt>
              </c:numCache>
            </c:numRef>
          </c:val>
        </c:ser>
        <c:ser>
          <c:idx val="5"/>
          <c:order val="4"/>
          <c:tx>
            <c:strRef>
              <c:f>'Report Tables'!$A$96</c:f>
              <c:strCache>
                <c:ptCount val="1"/>
                <c:pt idx="0">
                  <c:v>Contingency</c:v>
                </c:pt>
              </c:strCache>
            </c:strRef>
          </c:tx>
          <c:invertIfNegative val="0"/>
          <c:cat>
            <c:numRef>
              <c:f>'Report Graphs'!$C$2:$E$2</c:f>
              <c:numCache>
                <c:formatCode>General</c:formatCode>
                <c:ptCount val="3"/>
                <c:pt idx="0">
                  <c:v>10</c:v>
                </c:pt>
                <c:pt idx="1">
                  <c:v>50</c:v>
                </c:pt>
                <c:pt idx="2">
                  <c:v>100</c:v>
                </c:pt>
              </c:numCache>
            </c:numRef>
          </c:cat>
          <c:val>
            <c:numRef>
              <c:f>('Report Tables'!$B$96,'Report Tables'!$D$96,'Report Tables'!$F$96)</c:f>
              <c:numCache>
                <c:formatCode>0.0</c:formatCode>
                <c:ptCount val="3"/>
                <c:pt idx="0">
                  <c:v>4.3289123712696327</c:v>
                </c:pt>
                <c:pt idx="1">
                  <c:v>2.2687351823508446</c:v>
                </c:pt>
                <c:pt idx="2">
                  <c:v>2.0588557326720371</c:v>
                </c:pt>
              </c:numCache>
            </c:numRef>
          </c:val>
        </c:ser>
        <c:ser>
          <c:idx val="2"/>
          <c:order val="5"/>
          <c:tx>
            <c:strRef>
              <c:f>'Report Tables'!$A$97</c:f>
              <c:strCache>
                <c:ptCount val="1"/>
                <c:pt idx="0">
                  <c:v>Operation and Maintenance</c:v>
                </c:pt>
              </c:strCache>
            </c:strRef>
          </c:tx>
          <c:invertIfNegative val="0"/>
          <c:cat>
            <c:numRef>
              <c:f>'Report Graphs'!$C$2:$E$2</c:f>
              <c:numCache>
                <c:formatCode>General</c:formatCode>
                <c:ptCount val="3"/>
                <c:pt idx="0">
                  <c:v>10</c:v>
                </c:pt>
                <c:pt idx="1">
                  <c:v>50</c:v>
                </c:pt>
                <c:pt idx="2">
                  <c:v>100</c:v>
                </c:pt>
              </c:numCache>
            </c:numRef>
          </c:cat>
          <c:val>
            <c:numRef>
              <c:f>('Report Tables'!$B$97,'Report Tables'!$D$97,'Report Tables'!$F$97)</c:f>
              <c:numCache>
                <c:formatCode>0.0</c:formatCode>
                <c:ptCount val="3"/>
                <c:pt idx="0">
                  <c:v>34.498987860566324</c:v>
                </c:pt>
                <c:pt idx="1">
                  <c:v>13.389977403152928</c:v>
                </c:pt>
                <c:pt idx="2">
                  <c:v>10.236416754739327</c:v>
                </c:pt>
              </c:numCache>
            </c:numRef>
          </c:val>
        </c:ser>
        <c:dLbls>
          <c:showLegendKey val="0"/>
          <c:showVal val="0"/>
          <c:showCatName val="0"/>
          <c:showSerName val="0"/>
          <c:showPercent val="0"/>
          <c:showBubbleSize val="0"/>
        </c:dLbls>
        <c:gapWidth val="150"/>
        <c:overlap val="100"/>
        <c:axId val="362936984"/>
        <c:axId val="362939336"/>
      </c:barChart>
      <c:catAx>
        <c:axId val="362936984"/>
        <c:scaling>
          <c:orientation val="minMax"/>
        </c:scaling>
        <c:delete val="0"/>
        <c:axPos val="b"/>
        <c:majorGridlines>
          <c:spPr>
            <a:ln>
              <a:solidFill>
                <a:schemeClr val="bg1">
                  <a:lumMod val="85000"/>
                </a:schemeClr>
              </a:solidFill>
            </a:ln>
          </c:spPr>
        </c:majorGridlines>
        <c:title>
          <c:tx>
            <c:rich>
              <a:bodyPr/>
              <a:lstStyle/>
              <a:p>
                <a:pPr>
                  <a:defRPr/>
                </a:pPr>
                <a:r>
                  <a:rPr lang="en-US" baseline="0"/>
                  <a:t># of Units</a:t>
                </a:r>
              </a:p>
            </c:rich>
          </c:tx>
          <c:layout>
            <c:manualLayout>
              <c:xMode val="edge"/>
              <c:yMode val="edge"/>
              <c:x val="0.38175822733534709"/>
              <c:y val="0.9177864792344026"/>
            </c:manualLayout>
          </c:layout>
          <c:overlay val="0"/>
        </c:title>
        <c:numFmt formatCode="0" sourceLinked="0"/>
        <c:majorTickMark val="out"/>
        <c:minorTickMark val="none"/>
        <c:tickLblPos val="nextTo"/>
        <c:crossAx val="362939336"/>
        <c:crosses val="autoZero"/>
        <c:auto val="1"/>
        <c:lblAlgn val="ctr"/>
        <c:lblOffset val="100"/>
        <c:noMultiLvlLbl val="0"/>
      </c:catAx>
      <c:valAx>
        <c:axId val="362939336"/>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9.1848450057405284E-3"/>
              <c:y val="0.31372635021380851"/>
            </c:manualLayout>
          </c:layout>
          <c:overlay val="0"/>
        </c:title>
        <c:numFmt formatCode="0.0" sourceLinked="1"/>
        <c:majorTickMark val="out"/>
        <c:minorTickMark val="none"/>
        <c:tickLblPos val="nextTo"/>
        <c:crossAx val="362936984"/>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'[7]Report Graphs'!$A$159:$A$167</c:f>
              <c:numCache>
                <c:formatCode>General</c:formatCode>
                <c:ptCount val="9"/>
                <c:pt idx="0">
                  <c:v>1.5</c:v>
                </c:pt>
                <c:pt idx="1">
                  <c:v>1.7</c:v>
                </c:pt>
                <c:pt idx="2">
                  <c:v>1.9</c:v>
                </c:pt>
                <c:pt idx="3">
                  <c:v>2.1</c:v>
                </c:pt>
                <c:pt idx="4">
                  <c:v>2.2999999999999998</c:v>
                </c:pt>
                <c:pt idx="5">
                  <c:v>2.5</c:v>
                </c:pt>
                <c:pt idx="6">
                  <c:v>2.7</c:v>
                </c:pt>
                <c:pt idx="7">
                  <c:v>2.9</c:v>
                </c:pt>
                <c:pt idx="8">
                  <c:v>3.1</c:v>
                </c:pt>
              </c:numCache>
            </c:numRef>
          </c:xVal>
          <c:yVal>
            <c:numRef>
              <c:f>'[7]Report Graphs'!$C$159:$C$167</c:f>
              <c:numCache>
                <c:formatCode>General</c:formatCode>
                <c:ptCount val="9"/>
                <c:pt idx="0">
                  <c:v>160.88775532305041</c:v>
                </c:pt>
                <c:pt idx="1">
                  <c:v>126.74104631588072</c:v>
                </c:pt>
                <c:pt idx="2">
                  <c:v>102.5294361140466</c:v>
                </c:pt>
                <c:pt idx="3">
                  <c:v>84.723318178627878</c:v>
                </c:pt>
                <c:pt idx="4">
                  <c:v>71.236024866119209</c:v>
                </c:pt>
                <c:pt idx="5">
                  <c:v>60.768606249673731</c:v>
                </c:pt>
                <c:pt idx="6">
                  <c:v>52.477555643556613</c:v>
                </c:pt>
                <c:pt idx="7">
                  <c:v>45.795451835493438</c:v>
                </c:pt>
                <c:pt idx="8">
                  <c:v>40.329008402648689</c:v>
                </c:pt>
              </c:numCache>
            </c:numRef>
          </c:yVal>
          <c:smooth val="1"/>
        </c:ser>
        <c:dLbls>
          <c:showLegendKey val="0"/>
          <c:showVal val="0"/>
          <c:showCatName val="0"/>
          <c:showSerName val="0"/>
          <c:showPercent val="0"/>
          <c:showBubbleSize val="0"/>
        </c:dLbls>
        <c:axId val="381368408"/>
        <c:axId val="381365272"/>
      </c:scatterChart>
      <c:valAx>
        <c:axId val="381368408"/>
        <c:scaling>
          <c:orientation val="minMax"/>
          <c:min val="1"/>
        </c:scaling>
        <c:delete val="0"/>
        <c:axPos val="b"/>
        <c:majorGridlines>
          <c:spPr>
            <a:ln>
              <a:solidFill>
                <a:schemeClr val="bg1">
                  <a:lumMod val="85000"/>
                </a:schemeClr>
              </a:solidFill>
            </a:ln>
          </c:spPr>
        </c:majorGridlines>
        <c:title>
          <c:tx>
            <c:rich>
              <a:bodyPr/>
              <a:lstStyle/>
              <a:p>
                <a:pPr>
                  <a:defRPr/>
                </a:pPr>
                <a:r>
                  <a:rPr lang="en-US" baseline="0"/>
                  <a:t>Mean </a:t>
                </a:r>
                <a:r>
                  <a:rPr lang="en-US"/>
                  <a:t>Wave Height (m/s)</a:t>
                </a:r>
              </a:p>
            </c:rich>
          </c:tx>
          <c:overlay val="0"/>
        </c:title>
        <c:numFmt formatCode="General" sourceLinked="1"/>
        <c:majorTickMark val="out"/>
        <c:minorTickMark val="none"/>
        <c:tickLblPos val="nextTo"/>
        <c:crossAx val="381365272"/>
        <c:crosses val="autoZero"/>
        <c:crossBetween val="midCat"/>
      </c:valAx>
      <c:valAx>
        <c:axId val="381365272"/>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General" sourceLinked="1"/>
        <c:majorTickMark val="out"/>
        <c:minorTickMark val="none"/>
        <c:tickLblPos val="nextTo"/>
        <c:crossAx val="381368408"/>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emf"/><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134369</xdr:colOff>
      <xdr:row>9</xdr:row>
      <xdr:rowOff>170089</xdr:rowOff>
    </xdr:from>
    <xdr:to>
      <xdr:col>11</xdr:col>
      <xdr:colOff>335602</xdr:colOff>
      <xdr:row>33</xdr:row>
      <xdr:rowOff>86745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69" y="2646589"/>
          <a:ext cx="6923162" cy="448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5</xdr:row>
      <xdr:rowOff>152401</xdr:rowOff>
    </xdr:from>
    <xdr:to>
      <xdr:col>10</xdr:col>
      <xdr:colOff>361950</xdr:colOff>
      <xdr:row>25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57150</xdr:rowOff>
    </xdr:from>
    <xdr:to>
      <xdr:col>10</xdr:col>
      <xdr:colOff>476250</xdr:colOff>
      <xdr:row>46</xdr:row>
      <xdr:rowOff>176743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38100</xdr:rowOff>
    </xdr:from>
    <xdr:to>
      <xdr:col>10</xdr:col>
      <xdr:colOff>533400</xdr:colOff>
      <xdr:row>67</xdr:row>
      <xdr:rowOff>157693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85725</xdr:rowOff>
    </xdr:from>
    <xdr:to>
      <xdr:col>11</xdr:col>
      <xdr:colOff>295275</xdr:colOff>
      <xdr:row>89</xdr:row>
      <xdr:rowOff>14818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89</xdr:row>
      <xdr:rowOff>57150</xdr:rowOff>
    </xdr:from>
    <xdr:to>
      <xdr:col>10</xdr:col>
      <xdr:colOff>476250</xdr:colOff>
      <xdr:row>108</xdr:row>
      <xdr:rowOff>176743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109</xdr:row>
      <xdr:rowOff>133350</xdr:rowOff>
    </xdr:from>
    <xdr:to>
      <xdr:col>11</xdr:col>
      <xdr:colOff>295275</xdr:colOff>
      <xdr:row>129</xdr:row>
      <xdr:rowOff>62443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absoluteAnchor>
    <xdr:pos x="0" y="42786301"/>
    <xdr:ext cx="6867525" cy="3790950"/>
    <xdr:graphicFrame macro="">
      <xdr:nvGraphicFramePr>
        <xdr:cNvPr id="12" name="Chart 1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twoCellAnchor>
    <xdr:from>
      <xdr:col>0</xdr:col>
      <xdr:colOff>0</xdr:colOff>
      <xdr:row>131</xdr:row>
      <xdr:rowOff>47625</xdr:rowOff>
    </xdr:from>
    <xdr:to>
      <xdr:col>11</xdr:col>
      <xdr:colOff>66675</xdr:colOff>
      <xdr:row>150</xdr:row>
      <xdr:rowOff>167218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57151</xdr:colOff>
      <xdr:row>168</xdr:row>
      <xdr:rowOff>123825</xdr:rowOff>
    </xdr:from>
    <xdr:to>
      <xdr:col>5</xdr:col>
      <xdr:colOff>66676</xdr:colOff>
      <xdr:row>183</xdr:row>
      <xdr:rowOff>9525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200025</xdr:colOff>
      <xdr:row>185</xdr:row>
      <xdr:rowOff>85725</xdr:rowOff>
    </xdr:from>
    <xdr:to>
      <xdr:col>4</xdr:col>
      <xdr:colOff>288551</xdr:colOff>
      <xdr:row>199</xdr:row>
      <xdr:rowOff>161925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7</xdr:col>
      <xdr:colOff>47625</xdr:colOff>
      <xdr:row>209</xdr:row>
      <xdr:rowOff>104775</xdr:rowOff>
    </xdr:from>
    <xdr:to>
      <xdr:col>13</xdr:col>
      <xdr:colOff>193675</xdr:colOff>
      <xdr:row>224</xdr:row>
      <xdr:rowOff>114935</xdr:rowOff>
    </xdr:to>
    <xdr:pic>
      <xdr:nvPicPr>
        <xdr:cNvPr id="19" name="Picture 18"/>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239000" y="39919275"/>
          <a:ext cx="3803650" cy="286766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20</xdr:row>
          <xdr:rowOff>0</xdr:rowOff>
        </xdr:from>
        <xdr:to>
          <xdr:col>9</xdr:col>
          <xdr:colOff>495300</xdr:colOff>
          <xdr:row>20</xdr:row>
          <xdr:rowOff>0</xdr:rowOff>
        </xdr:to>
        <xdr:sp macro="" textlink="">
          <xdr:nvSpPr>
            <xdr:cNvPr id="29697" name="CommandButton1" hidden="1">
              <a:extLst>
                <a:ext uri="{63B3BB69-23CF-44E3-9099-C40C66FF867C}">
                  <a14:compatExt spid="_x0000_s296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24</xdr:col>
      <xdr:colOff>400050</xdr:colOff>
      <xdr:row>2</xdr:row>
      <xdr:rowOff>171450</xdr:rowOff>
    </xdr:from>
    <xdr:to>
      <xdr:col>33</xdr:col>
      <xdr:colOff>514350</xdr:colOff>
      <xdr:row>22</xdr:row>
      <xdr:rowOff>104775</xdr:rowOff>
    </xdr:to>
    <xdr:graphicFrame macro="">
      <xdr:nvGraphicFramePr>
        <xdr:cNvPr id="2" name="Chart 1">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333375</xdr:colOff>
      <xdr:row>89</xdr:row>
      <xdr:rowOff>114300</xdr:rowOff>
    </xdr:from>
    <xdr:to>
      <xdr:col>36</xdr:col>
      <xdr:colOff>328613</xdr:colOff>
      <xdr:row>107</xdr:row>
      <xdr:rowOff>133350</xdr:rowOff>
    </xdr:to>
    <xdr:graphicFrame macro="">
      <xdr:nvGraphicFramePr>
        <xdr:cNvPr id="3" name="Chart 2">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289983</xdr:colOff>
      <xdr:row>71</xdr:row>
      <xdr:rowOff>162983</xdr:rowOff>
    </xdr:from>
    <xdr:to>
      <xdr:col>36</xdr:col>
      <xdr:colOff>285221</xdr:colOff>
      <xdr:row>90</xdr:row>
      <xdr:rowOff>10583</xdr:rowOff>
    </xdr:to>
    <xdr:graphicFrame macro="">
      <xdr:nvGraphicFramePr>
        <xdr:cNvPr id="4" name="Chart 3">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324909</xdr:colOff>
      <xdr:row>107</xdr:row>
      <xdr:rowOff>78317</xdr:rowOff>
    </xdr:from>
    <xdr:to>
      <xdr:col>36</xdr:col>
      <xdr:colOff>320147</xdr:colOff>
      <xdr:row>125</xdr:row>
      <xdr:rowOff>164042</xdr:rowOff>
    </xdr:to>
    <xdr:graphicFrame macro="">
      <xdr:nvGraphicFramePr>
        <xdr:cNvPr id="5" name="Chart 4">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508000</xdr:colOff>
      <xdr:row>2</xdr:row>
      <xdr:rowOff>127000</xdr:rowOff>
    </xdr:from>
    <xdr:to>
      <xdr:col>43</xdr:col>
      <xdr:colOff>8466</xdr:colOff>
      <xdr:row>22</xdr:row>
      <xdr:rowOff>60325</xdr:rowOff>
    </xdr:to>
    <xdr:graphicFrame macro="">
      <xdr:nvGraphicFramePr>
        <xdr:cNvPr id="6" name="Chart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400955</xdr:colOff>
      <xdr:row>1</xdr:row>
      <xdr:rowOff>81642</xdr:rowOff>
    </xdr:from>
    <xdr:to>
      <xdr:col>21</xdr:col>
      <xdr:colOff>531130</xdr:colOff>
      <xdr:row>23</xdr:row>
      <xdr:rowOff>95317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51455" y="263071"/>
          <a:ext cx="8385175" cy="40051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Tidal%20Energy%20Reference%20Model%201\Tidal%20Performanc%20&amp;%20Economic%20Model\3-31-2011%20Final%20Results\Previous%20Work\MCT%20Model%20Short%20MP%2004-29-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a\Tidal%20Energy%20Reference%20Model%201\Tidal%20Performanc%20&amp;%20Economic%20Model\3-31-2011%20Final%20Results\Previous%20Work\MCT%20Model%20Short%20MP%2004-29-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Projects\SnoPUD\Resource%20Measurements\AI_AH_ADCP_new\AI_AH_1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ata\Projects\SnoPUD\Resource%20Measurements\AI_AH_ADCP_new\AI_AH_1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rko\AppData\Local\Microsoft\Windows\Temporary%20Internet%20Files\Content.Outlook\HQ0EO667\Tidal%20Cost%20JE%204-20-201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Mirko\AppData\Local\Microsoft\Windows\Temporary%20Internet%20Files\Content.Outlook\HQ0EO667\OCT%20Cost%20JE%206-10-2012v3%20(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Jeff%20Epler%2010-31-12\RM3\CBS\Reference%20Model%203%20CBS%20JE%2010-26-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Reporting"/>
      <sheetName val="Energy Model"/>
      <sheetName val="COE Model"/>
      <sheetName val="Cost Functions"/>
    </sheetNames>
    <sheetDataSet>
      <sheetData sheetId="0" refreshError="1">
        <row r="4">
          <cell r="K4">
            <v>55</v>
          </cell>
        </row>
        <row r="6">
          <cell r="K6">
            <v>0.95</v>
          </cell>
        </row>
        <row r="9">
          <cell r="K9">
            <v>9000</v>
          </cell>
        </row>
        <row r="10">
          <cell r="E10">
            <v>17</v>
          </cell>
        </row>
        <row r="11">
          <cell r="E11">
            <v>0.45</v>
          </cell>
          <cell r="K11">
            <v>22750</v>
          </cell>
        </row>
        <row r="12">
          <cell r="E12">
            <v>0.7</v>
          </cell>
        </row>
        <row r="13">
          <cell r="K13">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Reporting"/>
      <sheetName val="Energy Model"/>
      <sheetName val="COE Model"/>
      <sheetName val="Cost Functions"/>
    </sheetNames>
    <sheetDataSet>
      <sheetData sheetId="0" refreshError="1">
        <row r="4">
          <cell r="K4">
            <v>55</v>
          </cell>
        </row>
        <row r="6">
          <cell r="K6">
            <v>0.95</v>
          </cell>
        </row>
        <row r="9">
          <cell r="K9">
            <v>9000</v>
          </cell>
        </row>
        <row r="10">
          <cell r="E10">
            <v>17</v>
          </cell>
        </row>
        <row r="11">
          <cell r="E11">
            <v>0.45</v>
          </cell>
          <cell r="K11">
            <v>22750</v>
          </cell>
        </row>
        <row r="12">
          <cell r="E12">
            <v>0.7</v>
          </cell>
        </row>
        <row r="13">
          <cell r="K13">
            <v>0</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I_AH_ADCP_1_2007"/>
    </sheetNames>
    <sheetDataSet>
      <sheetData sheetId="0">
        <row r="2">
          <cell r="B2">
            <v>1024</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I_AH_ADCP_1_2007"/>
    </sheetNames>
    <sheetDataSet>
      <sheetData sheetId="0">
        <row r="2">
          <cell r="B2">
            <v>1024</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Graphs"/>
      <sheetName val="CAPEX_S-Curve"/>
      <sheetName val="Report"/>
      <sheetName val="DB"/>
      <sheetName val="Inupt Screen Database"/>
      <sheetName val="Tables"/>
      <sheetName val="CAPEX_MonteCarlo_simulation"/>
      <sheetName val="Econ IO"/>
      <sheetName val="Sensitivity"/>
      <sheetName val="Energy IO"/>
      <sheetName val="Energy Model"/>
      <sheetName val="Non-Utility Model"/>
      <sheetName val="Non-Utility Model no taxes"/>
      <sheetName val="Utility Model"/>
    </sheetNames>
    <sheetDataSet>
      <sheetData sheetId="0">
        <row r="10">
          <cell r="E10">
            <v>31</v>
          </cell>
        </row>
        <row r="11">
          <cell r="E11">
            <v>60</v>
          </cell>
        </row>
      </sheetData>
      <sheetData sheetId="1"/>
      <sheetData sheetId="2" refreshError="1"/>
      <sheetData sheetId="3"/>
      <sheetData sheetId="4"/>
      <sheetData sheetId="5"/>
      <sheetData sheetId="6"/>
      <sheetData sheetId="7"/>
      <sheetData sheetId="8"/>
      <sheetData sheetId="9"/>
      <sheetData sheetId="10"/>
      <sheetData sheetId="11">
        <row r="76">
          <cell r="G76">
            <v>9.0572366426390674E-2</v>
          </cell>
        </row>
      </sheetData>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Graphs"/>
      <sheetName val="CAPEX_S-Curve"/>
      <sheetName val="Report"/>
      <sheetName val="DB"/>
      <sheetName val="Inupt Screen Database"/>
      <sheetName val="Tables"/>
      <sheetName val="CAPEX_MonteCarlo_simulation"/>
      <sheetName val="Econ IO"/>
      <sheetName val="Sensitivity"/>
      <sheetName val="Energy IO"/>
      <sheetName val="Energy Model"/>
      <sheetName val="Non-Utility Model"/>
      <sheetName val="Non-Utility Model no taxes"/>
      <sheetName val="Utility Model"/>
      <sheetName val="Sheet1"/>
    </sheetNames>
    <sheetDataSet>
      <sheetData sheetId="0" refreshError="1">
        <row r="10">
          <cell r="E10">
            <v>1</v>
          </cell>
        </row>
        <row r="11">
          <cell r="E11">
            <v>350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Report Tables"/>
      <sheetName val="Report Graphs"/>
      <sheetName val="Performance &amp; Economics"/>
      <sheetName val="CBS (CoE)"/>
      <sheetName val="CBS ($ per kW)"/>
      <sheetName val="CBS (Total)"/>
      <sheetName val="1.1"/>
      <sheetName val="1.2"/>
      <sheetName val="1.3"/>
      <sheetName val="1.4"/>
      <sheetName val="1.5"/>
      <sheetName val="1.6"/>
      <sheetName val="1.7"/>
      <sheetName val="1.8"/>
      <sheetName val="1.9"/>
      <sheetName val="2.1"/>
      <sheetName val="2.2"/>
      <sheetName val="2.3"/>
      <sheetName val="2.4"/>
      <sheetName val="2.5"/>
      <sheetName val="2.6"/>
    </sheetNames>
    <sheetDataSet>
      <sheetData sheetId="0"/>
      <sheetData sheetId="1"/>
      <sheetData sheetId="2">
        <row r="159">
          <cell r="A159">
            <v>1.5</v>
          </cell>
          <cell r="B159">
            <v>10.390967780483027</v>
          </cell>
          <cell r="C159">
            <v>160.88775532305041</v>
          </cell>
        </row>
        <row r="160">
          <cell r="A160">
            <v>1.7</v>
          </cell>
          <cell r="B160">
            <v>14.407267528007228</v>
          </cell>
          <cell r="C160">
            <v>126.74104631588072</v>
          </cell>
        </row>
        <row r="161">
          <cell r="A161">
            <v>1.9</v>
          </cell>
          <cell r="B161">
            <v>19.262078741899987</v>
          </cell>
          <cell r="C161">
            <v>102.5294361140466</v>
          </cell>
        </row>
        <row r="162">
          <cell r="A162">
            <v>2.1</v>
          </cell>
          <cell r="B162">
            <v>25.014411739257284</v>
          </cell>
          <cell r="C162">
            <v>84.723318178627878</v>
          </cell>
        </row>
        <row r="163">
          <cell r="A163">
            <v>2.2999999999999998</v>
          </cell>
          <cell r="B163">
            <v>31.720897876046362</v>
          </cell>
          <cell r="C163">
            <v>71.236024866119209</v>
          </cell>
        </row>
        <row r="164">
          <cell r="A164">
            <v>2.5</v>
          </cell>
          <cell r="B164">
            <v>39.436100650985487</v>
          </cell>
          <cell r="C164">
            <v>60.768606249673731</v>
          </cell>
        </row>
        <row r="165">
          <cell r="A165">
            <v>2.7</v>
          </cell>
          <cell r="B165">
            <v>48.212762713551648</v>
          </cell>
          <cell r="C165">
            <v>52.477555643556613</v>
          </cell>
        </row>
        <row r="166">
          <cell r="A166">
            <v>2.9</v>
          </cell>
          <cell r="B166">
            <v>58.10200605476895</v>
          </cell>
          <cell r="C166">
            <v>45.795451835493438</v>
          </cell>
        </row>
        <row r="167">
          <cell r="A167">
            <v>3.1</v>
          </cell>
          <cell r="B167">
            <v>69.153497062456466</v>
          </cell>
          <cell r="C167">
            <v>40.329008402648689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irko@re-vision.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70" zoomScaleNormal="70" workbookViewId="0">
      <selection activeCell="N37" sqref="N37"/>
    </sheetView>
  </sheetViews>
  <sheetFormatPr defaultRowHeight="14.5" x14ac:dyDescent="0.35"/>
  <cols>
    <col min="1" max="1" width="3.6328125" customWidth="1"/>
    <col min="2" max="2" width="12.6328125" customWidth="1"/>
    <col min="3" max="3" width="11" customWidth="1"/>
  </cols>
  <sheetData>
    <row r="1" spans="1:4" x14ac:dyDescent="0.35">
      <c r="A1" s="59" t="s">
        <v>274</v>
      </c>
    </row>
    <row r="3" spans="1:4" x14ac:dyDescent="0.35">
      <c r="A3" t="s">
        <v>157</v>
      </c>
      <c r="C3" t="s">
        <v>153</v>
      </c>
    </row>
    <row r="4" spans="1:4" x14ac:dyDescent="0.35">
      <c r="A4" t="s">
        <v>154</v>
      </c>
      <c r="C4" t="s">
        <v>212</v>
      </c>
    </row>
    <row r="5" spans="1:4" x14ac:dyDescent="0.35">
      <c r="A5" t="s">
        <v>155</v>
      </c>
      <c r="C5" s="116" t="s">
        <v>156</v>
      </c>
    </row>
    <row r="6" spans="1:4" x14ac:dyDescent="0.35">
      <c r="A6" t="s">
        <v>158</v>
      </c>
      <c r="C6" s="117">
        <v>42927</v>
      </c>
    </row>
    <row r="8" spans="1:4" s="210" customFormat="1" x14ac:dyDescent="0.35">
      <c r="B8" s="215"/>
      <c r="C8" s="214"/>
      <c r="D8" s="214"/>
    </row>
    <row r="9" spans="1:4" x14ac:dyDescent="0.35">
      <c r="A9" s="687" t="s">
        <v>159</v>
      </c>
    </row>
  </sheetData>
  <hyperlinks>
    <hyperlink ref="C5"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4"/>
  <sheetViews>
    <sheetView zoomScale="70" zoomScaleNormal="70" workbookViewId="0">
      <selection activeCell="AD55" sqref="AD55"/>
    </sheetView>
  </sheetViews>
  <sheetFormatPr defaultRowHeight="14.5" x14ac:dyDescent="0.35"/>
  <cols>
    <col min="1" max="10" width="8.7265625" style="725"/>
    <col min="11" max="11" width="21.1796875" style="725" bestFit="1" customWidth="1"/>
    <col min="12" max="12" width="11.7265625" style="725" bestFit="1" customWidth="1"/>
    <col min="13" max="16384" width="8.7265625" style="725"/>
  </cols>
  <sheetData>
    <row r="2" spans="1:24" x14ac:dyDescent="0.35">
      <c r="A2" s="725" t="s">
        <v>1381</v>
      </c>
    </row>
    <row r="4" spans="1:24" ht="15.75" customHeight="1" thickBot="1" x14ac:dyDescent="0.4">
      <c r="D4" s="725" t="s">
        <v>1373</v>
      </c>
    </row>
    <row r="5" spans="1:24" ht="15" thickBot="1" x14ac:dyDescent="0.4">
      <c r="C5" s="824"/>
      <c r="D5" s="825">
        <v>0.5</v>
      </c>
      <c r="E5" s="826">
        <v>1.5</v>
      </c>
      <c r="F5" s="826">
        <v>2.5</v>
      </c>
      <c r="G5" s="826">
        <v>3.5</v>
      </c>
      <c r="H5" s="826">
        <v>4.5</v>
      </c>
      <c r="I5" s="826">
        <v>5.5</v>
      </c>
      <c r="J5" s="826">
        <v>6.5</v>
      </c>
      <c r="K5" s="826">
        <v>7.5</v>
      </c>
      <c r="L5" s="826">
        <v>8.5</v>
      </c>
      <c r="M5" s="826">
        <v>9.5</v>
      </c>
      <c r="N5" s="826">
        <v>10.5</v>
      </c>
      <c r="O5" s="826">
        <v>11.5</v>
      </c>
      <c r="P5" s="826">
        <v>12.5</v>
      </c>
      <c r="Q5" s="826">
        <v>13.5</v>
      </c>
      <c r="R5" s="826">
        <v>14.5</v>
      </c>
      <c r="S5" s="826">
        <v>15.5</v>
      </c>
      <c r="T5" s="826">
        <v>16.5</v>
      </c>
      <c r="U5" s="826">
        <v>17.5</v>
      </c>
      <c r="V5" s="826">
        <v>18.5</v>
      </c>
      <c r="W5" s="826">
        <v>19.5</v>
      </c>
      <c r="X5" s="827">
        <v>20.5</v>
      </c>
    </row>
    <row r="6" spans="1:24" ht="15" customHeight="1" x14ac:dyDescent="0.35">
      <c r="B6" s="725" t="s">
        <v>1374</v>
      </c>
      <c r="C6" s="828">
        <v>0.25</v>
      </c>
      <c r="D6" s="829">
        <v>0</v>
      </c>
      <c r="E6" s="830">
        <v>0</v>
      </c>
      <c r="F6" s="830">
        <v>0</v>
      </c>
      <c r="G6" s="830">
        <v>0</v>
      </c>
      <c r="H6" s="830">
        <v>0</v>
      </c>
      <c r="I6" s="830">
        <v>0</v>
      </c>
      <c r="J6" s="830">
        <v>0</v>
      </c>
      <c r="K6" s="830">
        <v>0.64924241302415397</v>
      </c>
      <c r="L6" s="830">
        <v>0.67777349838037504</v>
      </c>
      <c r="M6" s="830">
        <v>0</v>
      </c>
      <c r="N6" s="830">
        <v>0</v>
      </c>
      <c r="O6" s="830">
        <v>0</v>
      </c>
      <c r="P6" s="830">
        <v>0</v>
      </c>
      <c r="Q6" s="830">
        <v>0</v>
      </c>
      <c r="R6" s="830">
        <v>0</v>
      </c>
      <c r="S6" s="830">
        <v>0</v>
      </c>
      <c r="T6" s="830">
        <v>0</v>
      </c>
      <c r="U6" s="830">
        <v>0</v>
      </c>
      <c r="V6" s="830">
        <v>0</v>
      </c>
      <c r="W6" s="830">
        <v>0</v>
      </c>
      <c r="X6" s="831">
        <v>0</v>
      </c>
    </row>
    <row r="7" spans="1:24" x14ac:dyDescent="0.35">
      <c r="C7" s="832">
        <v>0.75</v>
      </c>
      <c r="D7" s="833">
        <v>0</v>
      </c>
      <c r="E7" s="834">
        <v>0</v>
      </c>
      <c r="F7" s="834">
        <v>0</v>
      </c>
      <c r="G7" s="834">
        <v>0</v>
      </c>
      <c r="H7" s="834">
        <v>3.5523142603953399</v>
      </c>
      <c r="I7" s="834">
        <v>4.5784742926892896</v>
      </c>
      <c r="J7" s="834">
        <v>5.2048112546688898</v>
      </c>
      <c r="K7" s="834">
        <v>5.8431817172173499</v>
      </c>
      <c r="L7" s="834">
        <v>6.0999614854233402</v>
      </c>
      <c r="M7" s="834">
        <v>6.1079125952391298</v>
      </c>
      <c r="N7" s="834">
        <v>6.0490819998268597</v>
      </c>
      <c r="O7" s="834">
        <v>5.89366579769192</v>
      </c>
      <c r="P7" s="834">
        <v>5.7089721328539698</v>
      </c>
      <c r="Q7" s="834">
        <v>0</v>
      </c>
      <c r="R7" s="834">
        <v>0</v>
      </c>
      <c r="S7" s="834">
        <v>0</v>
      </c>
      <c r="T7" s="834">
        <v>0</v>
      </c>
      <c r="U7" s="834">
        <v>0</v>
      </c>
      <c r="V7" s="834">
        <v>0</v>
      </c>
      <c r="W7" s="834">
        <v>0</v>
      </c>
      <c r="X7" s="835">
        <v>0</v>
      </c>
    </row>
    <row r="8" spans="1:24" x14ac:dyDescent="0.35">
      <c r="C8" s="832">
        <v>1.25</v>
      </c>
      <c r="D8" s="833">
        <v>0</v>
      </c>
      <c r="E8" s="834">
        <v>0</v>
      </c>
      <c r="F8" s="834">
        <v>0</v>
      </c>
      <c r="G8" s="834">
        <v>0</v>
      </c>
      <c r="H8" s="834">
        <v>9.8675396122092902</v>
      </c>
      <c r="I8" s="834">
        <v>12.7179841463591</v>
      </c>
      <c r="J8" s="834">
        <v>14.457809040747</v>
      </c>
      <c r="K8" s="834">
        <v>16.231060325603799</v>
      </c>
      <c r="L8" s="834">
        <v>16.944337459509299</v>
      </c>
      <c r="M8" s="834">
        <v>16.966423875664301</v>
      </c>
      <c r="N8" s="834">
        <v>16.803005555074598</v>
      </c>
      <c r="O8" s="834">
        <v>16.371293882477499</v>
      </c>
      <c r="P8" s="834">
        <v>15.858255924594401</v>
      </c>
      <c r="Q8" s="834">
        <v>15.2100740557508</v>
      </c>
      <c r="R8" s="834">
        <v>14.9585621676489</v>
      </c>
      <c r="S8" s="834">
        <v>14.248750753560101</v>
      </c>
      <c r="T8" s="834">
        <v>0</v>
      </c>
      <c r="U8" s="834">
        <v>0</v>
      </c>
      <c r="V8" s="834">
        <v>0</v>
      </c>
      <c r="W8" s="834">
        <v>0</v>
      </c>
      <c r="X8" s="835">
        <v>0</v>
      </c>
    </row>
    <row r="9" spans="1:24" x14ac:dyDescent="0.35">
      <c r="C9" s="832">
        <v>1.75</v>
      </c>
      <c r="D9" s="833">
        <v>0</v>
      </c>
      <c r="E9" s="834">
        <v>0</v>
      </c>
      <c r="F9" s="834">
        <v>0</v>
      </c>
      <c r="G9" s="834">
        <v>0</v>
      </c>
      <c r="H9" s="834">
        <v>0</v>
      </c>
      <c r="I9" s="834">
        <v>24.9272489268638</v>
      </c>
      <c r="J9" s="834">
        <v>28.337305719863899</v>
      </c>
      <c r="K9" s="834">
        <v>31.812878238183501</v>
      </c>
      <c r="L9" s="834">
        <v>33.210901420638301</v>
      </c>
      <c r="M9" s="834">
        <v>33.254190796302098</v>
      </c>
      <c r="N9" s="834">
        <v>32.933890887946298</v>
      </c>
      <c r="O9" s="834">
        <v>32.087736009656098</v>
      </c>
      <c r="P9" s="834">
        <v>31.082181612205101</v>
      </c>
      <c r="Q9" s="834">
        <v>29.811745149271601</v>
      </c>
      <c r="R9" s="834">
        <v>29.318781848591801</v>
      </c>
      <c r="S9" s="834">
        <v>27.927551476977801</v>
      </c>
      <c r="T9" s="834">
        <v>0</v>
      </c>
      <c r="U9" s="834">
        <v>0</v>
      </c>
      <c r="V9" s="834">
        <v>0</v>
      </c>
      <c r="W9" s="834">
        <v>0</v>
      </c>
      <c r="X9" s="835">
        <v>0</v>
      </c>
    </row>
    <row r="10" spans="1:24" x14ac:dyDescent="0.35">
      <c r="C10" s="832">
        <v>2.25</v>
      </c>
      <c r="D10" s="833">
        <v>0</v>
      </c>
      <c r="E10" s="834">
        <v>0</v>
      </c>
      <c r="F10" s="834">
        <v>0</v>
      </c>
      <c r="G10" s="834">
        <v>0</v>
      </c>
      <c r="H10" s="834">
        <v>0</v>
      </c>
      <c r="I10" s="834">
        <v>0</v>
      </c>
      <c r="J10" s="834">
        <v>46.843301292020101</v>
      </c>
      <c r="K10" s="834">
        <v>52.588635454956297</v>
      </c>
      <c r="L10" s="834">
        <v>54.899653368810199</v>
      </c>
      <c r="M10" s="834">
        <v>54.971213357152301</v>
      </c>
      <c r="N10" s="834">
        <v>54.441737998441901</v>
      </c>
      <c r="O10" s="834">
        <v>53.042992179227198</v>
      </c>
      <c r="P10" s="834">
        <v>51.380749195685702</v>
      </c>
      <c r="Q10" s="834">
        <v>49.280639940632703</v>
      </c>
      <c r="R10" s="834">
        <v>48.465741423182202</v>
      </c>
      <c r="S10" s="834">
        <v>46.165952441534699</v>
      </c>
      <c r="T10" s="834">
        <v>44.909245227355598</v>
      </c>
      <c r="U10" s="834">
        <v>0</v>
      </c>
      <c r="V10" s="834">
        <v>0</v>
      </c>
      <c r="W10" s="834">
        <v>0</v>
      </c>
      <c r="X10" s="835">
        <v>0</v>
      </c>
    </row>
    <row r="11" spans="1:24" x14ac:dyDescent="0.35">
      <c r="C11" s="832">
        <v>2.75</v>
      </c>
      <c r="D11" s="833">
        <v>0</v>
      </c>
      <c r="E11" s="834">
        <v>0</v>
      </c>
      <c r="F11" s="834">
        <v>0</v>
      </c>
      <c r="G11" s="834">
        <v>0</v>
      </c>
      <c r="H11" s="834">
        <v>0</v>
      </c>
      <c r="I11" s="834">
        <v>0</v>
      </c>
      <c r="J11" s="834">
        <v>69.975795757214996</v>
      </c>
      <c r="K11" s="834">
        <v>78.558331975922897</v>
      </c>
      <c r="L11" s="834">
        <v>82.010593304025306</v>
      </c>
      <c r="M11" s="834">
        <v>82.117491558215306</v>
      </c>
      <c r="N11" s="834">
        <v>81.326546886561303</v>
      </c>
      <c r="O11" s="834">
        <v>79.237062391191699</v>
      </c>
      <c r="P11" s="834">
        <v>76.753958675037097</v>
      </c>
      <c r="Q11" s="834">
        <v>73.616758429833695</v>
      </c>
      <c r="R11" s="834">
        <v>72.399440891420397</v>
      </c>
      <c r="S11" s="834">
        <v>68.963953647230696</v>
      </c>
      <c r="T11" s="834">
        <v>67.086650277901697</v>
      </c>
      <c r="U11" s="834">
        <v>0</v>
      </c>
      <c r="V11" s="834">
        <v>0</v>
      </c>
      <c r="W11" s="834">
        <v>0</v>
      </c>
      <c r="X11" s="835">
        <v>0</v>
      </c>
    </row>
    <row r="12" spans="1:24" x14ac:dyDescent="0.35">
      <c r="C12" s="832">
        <v>3.25</v>
      </c>
      <c r="D12" s="833">
        <v>0</v>
      </c>
      <c r="E12" s="834">
        <v>0</v>
      </c>
      <c r="F12" s="834">
        <v>0</v>
      </c>
      <c r="G12" s="834">
        <v>0</v>
      </c>
      <c r="H12" s="834">
        <v>0</v>
      </c>
      <c r="I12" s="834">
        <v>0</v>
      </c>
      <c r="J12" s="834">
        <v>0</v>
      </c>
      <c r="K12" s="834">
        <v>109.721967801082</v>
      </c>
      <c r="L12" s="834">
        <v>114.543721226283</v>
      </c>
      <c r="M12" s="834">
        <v>114.69302539949101</v>
      </c>
      <c r="N12" s="834">
        <v>113.588317552305</v>
      </c>
      <c r="O12" s="834">
        <v>110.669946645549</v>
      </c>
      <c r="P12" s="834">
        <v>107.201810050258</v>
      </c>
      <c r="Q12" s="834">
        <v>102.820100616875</v>
      </c>
      <c r="R12" s="834">
        <v>101.11988025330599</v>
      </c>
      <c r="S12" s="834">
        <v>96.321555094066298</v>
      </c>
      <c r="T12" s="834">
        <v>93.699536338556499</v>
      </c>
      <c r="U12" s="834">
        <v>76.593839976416703</v>
      </c>
      <c r="V12" s="834">
        <v>64.907576258917899</v>
      </c>
      <c r="W12" s="834">
        <v>0</v>
      </c>
      <c r="X12" s="835">
        <v>0</v>
      </c>
    </row>
    <row r="13" spans="1:24" x14ac:dyDescent="0.35">
      <c r="C13" s="832">
        <v>3.75</v>
      </c>
      <c r="D13" s="833">
        <v>0</v>
      </c>
      <c r="E13" s="834">
        <v>0</v>
      </c>
      <c r="F13" s="834">
        <v>0</v>
      </c>
      <c r="G13" s="834">
        <v>0</v>
      </c>
      <c r="H13" s="834">
        <v>0</v>
      </c>
      <c r="I13" s="834">
        <v>0</v>
      </c>
      <c r="J13" s="834">
        <v>0</v>
      </c>
      <c r="K13" s="834">
        <v>146.079542930434</v>
      </c>
      <c r="L13" s="834">
        <v>152.49903713558399</v>
      </c>
      <c r="M13" s="834">
        <v>152.697814880979</v>
      </c>
      <c r="N13" s="834">
        <v>151.22704999567199</v>
      </c>
      <c r="O13" s="834">
        <v>147.34164494229901</v>
      </c>
      <c r="P13" s="834">
        <v>142.724303321349</v>
      </c>
      <c r="Q13" s="834">
        <v>136.89066650175801</v>
      </c>
      <c r="R13" s="834">
        <v>134.62705950884001</v>
      </c>
      <c r="S13" s="834">
        <v>128.23875678204101</v>
      </c>
      <c r="T13" s="834">
        <v>124.747903409321</v>
      </c>
      <c r="U13" s="834">
        <v>0</v>
      </c>
      <c r="V13" s="834">
        <v>0</v>
      </c>
      <c r="W13" s="834">
        <v>0</v>
      </c>
      <c r="X13" s="835">
        <v>0</v>
      </c>
    </row>
    <row r="14" spans="1:24" x14ac:dyDescent="0.35">
      <c r="C14" s="832">
        <v>4.25</v>
      </c>
      <c r="D14" s="833">
        <v>0</v>
      </c>
      <c r="E14" s="834">
        <v>0</v>
      </c>
      <c r="F14" s="834">
        <v>0</v>
      </c>
      <c r="G14" s="834">
        <v>0</v>
      </c>
      <c r="H14" s="834">
        <v>0</v>
      </c>
      <c r="I14" s="834">
        <v>0</v>
      </c>
      <c r="J14" s="834">
        <v>0</v>
      </c>
      <c r="K14" s="834">
        <v>0</v>
      </c>
      <c r="L14" s="834">
        <v>182.61828238196756</v>
      </c>
      <c r="M14" s="834">
        <v>182.61828238196756</v>
      </c>
      <c r="N14" s="834">
        <v>182.61828238196756</v>
      </c>
      <c r="O14" s="834">
        <v>182.61828238196756</v>
      </c>
      <c r="P14" s="834">
        <v>182.61828238196756</v>
      </c>
      <c r="Q14" s="834">
        <v>175.828456084479</v>
      </c>
      <c r="R14" s="834">
        <v>173.58175374971799</v>
      </c>
      <c r="S14" s="834">
        <v>165.210859270567</v>
      </c>
      <c r="T14" s="834">
        <v>160.23175149019499</v>
      </c>
      <c r="U14" s="834">
        <v>0</v>
      </c>
      <c r="V14" s="834">
        <v>0</v>
      </c>
      <c r="W14" s="834">
        <v>0</v>
      </c>
      <c r="X14" s="835">
        <v>0</v>
      </c>
    </row>
    <row r="15" spans="1:24" x14ac:dyDescent="0.35">
      <c r="C15" s="832">
        <v>4.75</v>
      </c>
      <c r="D15" s="833">
        <v>0</v>
      </c>
      <c r="E15" s="834">
        <v>0</v>
      </c>
      <c r="F15" s="834">
        <v>0</v>
      </c>
      <c r="G15" s="834">
        <v>0</v>
      </c>
      <c r="H15" s="834">
        <v>0</v>
      </c>
      <c r="I15" s="834">
        <v>0</v>
      </c>
      <c r="J15" s="834">
        <v>0</v>
      </c>
      <c r="K15" s="834">
        <v>0</v>
      </c>
      <c r="L15" s="834">
        <v>182.61828238196756</v>
      </c>
      <c r="M15" s="834">
        <v>182.61828238196756</v>
      </c>
      <c r="N15" s="834">
        <v>182.61828238196756</v>
      </c>
      <c r="O15" s="834">
        <v>182.61828238196756</v>
      </c>
      <c r="P15" s="834">
        <v>182.61828238196756</v>
      </c>
      <c r="Q15" s="834">
        <v>182.61828238196756</v>
      </c>
      <c r="R15" s="834">
        <v>182.61828238196756</v>
      </c>
      <c r="S15" s="834">
        <v>182.61828238196756</v>
      </c>
      <c r="T15" s="834">
        <v>182.61828238196756</v>
      </c>
      <c r="U15" s="834">
        <v>0</v>
      </c>
      <c r="V15" s="834">
        <v>0</v>
      </c>
      <c r="W15" s="834">
        <v>0</v>
      </c>
      <c r="X15" s="835">
        <v>0</v>
      </c>
    </row>
    <row r="16" spans="1:24" x14ac:dyDescent="0.35">
      <c r="C16" s="832">
        <v>5.25</v>
      </c>
      <c r="D16" s="833">
        <v>0</v>
      </c>
      <c r="E16" s="834">
        <v>0</v>
      </c>
      <c r="F16" s="834">
        <v>0</v>
      </c>
      <c r="G16" s="834">
        <v>0</v>
      </c>
      <c r="H16" s="834">
        <v>0</v>
      </c>
      <c r="I16" s="834">
        <v>0</v>
      </c>
      <c r="J16" s="834">
        <v>0</v>
      </c>
      <c r="K16" s="834">
        <v>0</v>
      </c>
      <c r="L16" s="834">
        <v>0</v>
      </c>
      <c r="M16" s="834">
        <v>182.61828238196756</v>
      </c>
      <c r="N16" s="834">
        <v>182.61828238196756</v>
      </c>
      <c r="O16" s="834">
        <v>182.61828238196756</v>
      </c>
      <c r="P16" s="834">
        <v>182.61828238196756</v>
      </c>
      <c r="Q16" s="834">
        <v>182.61828238196756</v>
      </c>
      <c r="R16" s="834">
        <v>182.61828238196756</v>
      </c>
      <c r="S16" s="834">
        <v>182.61828238196756</v>
      </c>
      <c r="T16" s="834">
        <v>0</v>
      </c>
      <c r="U16" s="834">
        <v>0</v>
      </c>
      <c r="V16" s="834">
        <v>0</v>
      </c>
      <c r="W16" s="834">
        <v>0</v>
      </c>
      <c r="X16" s="835">
        <v>0</v>
      </c>
    </row>
    <row r="17" spans="1:24" x14ac:dyDescent="0.35">
      <c r="C17" s="832">
        <v>5.75</v>
      </c>
      <c r="D17" s="833">
        <v>0</v>
      </c>
      <c r="E17" s="834">
        <v>0</v>
      </c>
      <c r="F17" s="834">
        <v>0</v>
      </c>
      <c r="G17" s="834">
        <v>0</v>
      </c>
      <c r="H17" s="834">
        <v>0</v>
      </c>
      <c r="I17" s="834">
        <v>0</v>
      </c>
      <c r="J17" s="834">
        <v>0</v>
      </c>
      <c r="K17" s="834">
        <v>0</v>
      </c>
      <c r="L17" s="834">
        <v>0</v>
      </c>
      <c r="M17" s="834">
        <v>0</v>
      </c>
      <c r="N17" s="834">
        <v>0</v>
      </c>
      <c r="O17" s="834">
        <v>182.61828238196756</v>
      </c>
      <c r="P17" s="834">
        <v>182.61828238196756</v>
      </c>
      <c r="Q17" s="834">
        <v>182.61828238196756</v>
      </c>
      <c r="R17" s="834">
        <v>182.61828238196756</v>
      </c>
      <c r="S17" s="834">
        <v>182.61828238196756</v>
      </c>
      <c r="T17" s="834">
        <v>0</v>
      </c>
      <c r="U17" s="834">
        <v>0</v>
      </c>
      <c r="V17" s="834">
        <v>0</v>
      </c>
      <c r="W17" s="834">
        <v>0</v>
      </c>
      <c r="X17" s="835">
        <v>0</v>
      </c>
    </row>
    <row r="18" spans="1:24" x14ac:dyDescent="0.35">
      <c r="C18" s="832">
        <v>6.25</v>
      </c>
      <c r="D18" s="833">
        <v>0</v>
      </c>
      <c r="E18" s="834">
        <v>0</v>
      </c>
      <c r="F18" s="834">
        <v>0</v>
      </c>
      <c r="G18" s="834">
        <v>0</v>
      </c>
      <c r="H18" s="834">
        <v>0</v>
      </c>
      <c r="I18" s="834">
        <v>0</v>
      </c>
      <c r="J18" s="834">
        <v>0</v>
      </c>
      <c r="K18" s="834">
        <v>0</v>
      </c>
      <c r="L18" s="834">
        <v>0</v>
      </c>
      <c r="M18" s="834">
        <v>0</v>
      </c>
      <c r="N18" s="834">
        <v>0</v>
      </c>
      <c r="O18" s="834">
        <v>0</v>
      </c>
      <c r="P18" s="834">
        <v>182.61828238196756</v>
      </c>
      <c r="Q18" s="834">
        <v>182.61828238196756</v>
      </c>
      <c r="R18" s="834">
        <v>182.61828238196756</v>
      </c>
      <c r="S18" s="834">
        <v>182.61828238196756</v>
      </c>
      <c r="T18" s="834">
        <v>0</v>
      </c>
      <c r="U18" s="834">
        <v>0</v>
      </c>
      <c r="V18" s="834">
        <v>0</v>
      </c>
      <c r="W18" s="834">
        <v>0</v>
      </c>
      <c r="X18" s="835">
        <v>0</v>
      </c>
    </row>
    <row r="19" spans="1:24" x14ac:dyDescent="0.35">
      <c r="C19" s="832">
        <v>6.75</v>
      </c>
      <c r="D19" s="833">
        <v>0</v>
      </c>
      <c r="E19" s="834">
        <v>0</v>
      </c>
      <c r="F19" s="834">
        <v>0</v>
      </c>
      <c r="G19" s="834">
        <v>0</v>
      </c>
      <c r="H19" s="834">
        <v>0</v>
      </c>
      <c r="I19" s="834">
        <v>0</v>
      </c>
      <c r="J19" s="834">
        <v>0</v>
      </c>
      <c r="K19" s="834">
        <v>0</v>
      </c>
      <c r="L19" s="834">
        <v>0</v>
      </c>
      <c r="M19" s="834">
        <v>0</v>
      </c>
      <c r="N19" s="834">
        <v>0</v>
      </c>
      <c r="O19" s="834">
        <v>0</v>
      </c>
      <c r="P19" s="834">
        <v>0</v>
      </c>
      <c r="Q19" s="834">
        <v>182.61828238196756</v>
      </c>
      <c r="R19" s="834">
        <v>182.61828238196756</v>
      </c>
      <c r="S19" s="834">
        <v>0</v>
      </c>
      <c r="T19" s="834">
        <v>0</v>
      </c>
      <c r="U19" s="834">
        <v>0</v>
      </c>
      <c r="V19" s="834">
        <v>0</v>
      </c>
      <c r="W19" s="834">
        <v>0</v>
      </c>
      <c r="X19" s="835">
        <v>0</v>
      </c>
    </row>
    <row r="20" spans="1:24" x14ac:dyDescent="0.35">
      <c r="C20" s="832">
        <v>7.25</v>
      </c>
      <c r="D20" s="833">
        <v>0</v>
      </c>
      <c r="E20" s="834">
        <v>0</v>
      </c>
      <c r="F20" s="834">
        <v>0</v>
      </c>
      <c r="G20" s="834">
        <v>0</v>
      </c>
      <c r="H20" s="834">
        <v>0</v>
      </c>
      <c r="I20" s="834">
        <v>0</v>
      </c>
      <c r="J20" s="834">
        <v>0</v>
      </c>
      <c r="K20" s="834">
        <v>0</v>
      </c>
      <c r="L20" s="834">
        <v>0</v>
      </c>
      <c r="M20" s="834">
        <v>0</v>
      </c>
      <c r="N20" s="834">
        <v>0</v>
      </c>
      <c r="O20" s="834">
        <v>0</v>
      </c>
      <c r="P20" s="834">
        <v>0</v>
      </c>
      <c r="Q20" s="834">
        <v>0</v>
      </c>
      <c r="R20" s="834">
        <v>0</v>
      </c>
      <c r="S20" s="834">
        <v>0</v>
      </c>
      <c r="T20" s="834">
        <v>0</v>
      </c>
      <c r="U20" s="834">
        <v>0</v>
      </c>
      <c r="V20" s="834">
        <v>0</v>
      </c>
      <c r="W20" s="834">
        <v>0</v>
      </c>
      <c r="X20" s="835">
        <v>0</v>
      </c>
    </row>
    <row r="21" spans="1:24" x14ac:dyDescent="0.35">
      <c r="C21" s="832">
        <v>7.75</v>
      </c>
      <c r="D21" s="833">
        <v>0</v>
      </c>
      <c r="E21" s="834">
        <v>0</v>
      </c>
      <c r="F21" s="834">
        <v>0</v>
      </c>
      <c r="G21" s="834">
        <v>0</v>
      </c>
      <c r="H21" s="834">
        <v>0</v>
      </c>
      <c r="I21" s="834">
        <v>0</v>
      </c>
      <c r="J21" s="834">
        <v>0</v>
      </c>
      <c r="K21" s="834">
        <v>0</v>
      </c>
      <c r="L21" s="834">
        <v>0</v>
      </c>
      <c r="M21" s="834">
        <v>0</v>
      </c>
      <c r="N21" s="834">
        <v>0</v>
      </c>
      <c r="O21" s="834">
        <v>0</v>
      </c>
      <c r="P21" s="834">
        <v>0</v>
      </c>
      <c r="Q21" s="834">
        <v>0</v>
      </c>
      <c r="R21" s="834">
        <v>0</v>
      </c>
      <c r="S21" s="834">
        <v>0</v>
      </c>
      <c r="T21" s="834">
        <v>0</v>
      </c>
      <c r="U21" s="834">
        <v>0</v>
      </c>
      <c r="V21" s="834">
        <v>0</v>
      </c>
      <c r="W21" s="834">
        <v>0</v>
      </c>
      <c r="X21" s="835">
        <v>0</v>
      </c>
    </row>
    <row r="22" spans="1:24" x14ac:dyDescent="0.35">
      <c r="C22" s="832">
        <v>8.25</v>
      </c>
      <c r="D22" s="833">
        <v>0</v>
      </c>
      <c r="E22" s="834">
        <v>0</v>
      </c>
      <c r="F22" s="834">
        <v>0</v>
      </c>
      <c r="G22" s="834">
        <v>0</v>
      </c>
      <c r="H22" s="834">
        <v>0</v>
      </c>
      <c r="I22" s="834">
        <v>0</v>
      </c>
      <c r="J22" s="834">
        <v>0</v>
      </c>
      <c r="K22" s="834">
        <v>0</v>
      </c>
      <c r="L22" s="834">
        <v>0</v>
      </c>
      <c r="M22" s="834">
        <v>0</v>
      </c>
      <c r="N22" s="834">
        <v>0</v>
      </c>
      <c r="O22" s="834">
        <v>0</v>
      </c>
      <c r="P22" s="834">
        <v>0</v>
      </c>
      <c r="Q22" s="834">
        <v>0</v>
      </c>
      <c r="R22" s="834">
        <v>0</v>
      </c>
      <c r="S22" s="834">
        <v>0</v>
      </c>
      <c r="T22" s="834">
        <v>0</v>
      </c>
      <c r="U22" s="834">
        <v>0</v>
      </c>
      <c r="V22" s="834">
        <v>0</v>
      </c>
      <c r="W22" s="834">
        <v>0</v>
      </c>
      <c r="X22" s="835">
        <v>0</v>
      </c>
    </row>
    <row r="23" spans="1:24" x14ac:dyDescent="0.35">
      <c r="C23" s="832">
        <v>8.75</v>
      </c>
      <c r="D23" s="833">
        <v>0</v>
      </c>
      <c r="E23" s="834">
        <v>0</v>
      </c>
      <c r="F23" s="834">
        <v>0</v>
      </c>
      <c r="G23" s="834">
        <v>0</v>
      </c>
      <c r="H23" s="834">
        <v>0</v>
      </c>
      <c r="I23" s="834">
        <v>0</v>
      </c>
      <c r="J23" s="834">
        <v>0</v>
      </c>
      <c r="K23" s="834">
        <v>0</v>
      </c>
      <c r="L23" s="834">
        <v>0</v>
      </c>
      <c r="M23" s="834">
        <v>0</v>
      </c>
      <c r="N23" s="834">
        <v>0</v>
      </c>
      <c r="O23" s="834">
        <v>0</v>
      </c>
      <c r="P23" s="834">
        <v>0</v>
      </c>
      <c r="Q23" s="834">
        <v>0</v>
      </c>
      <c r="R23" s="834">
        <v>0</v>
      </c>
      <c r="S23" s="834">
        <v>0</v>
      </c>
      <c r="T23" s="834">
        <v>0</v>
      </c>
      <c r="U23" s="834">
        <v>0</v>
      </c>
      <c r="V23" s="834">
        <v>0</v>
      </c>
      <c r="W23" s="834">
        <v>0</v>
      </c>
      <c r="X23" s="835">
        <v>0</v>
      </c>
    </row>
    <row r="24" spans="1:24" x14ac:dyDescent="0.35">
      <c r="C24" s="832">
        <v>9.25</v>
      </c>
      <c r="D24" s="833">
        <v>0</v>
      </c>
      <c r="E24" s="834">
        <v>0</v>
      </c>
      <c r="F24" s="834">
        <v>0</v>
      </c>
      <c r="G24" s="834">
        <v>0</v>
      </c>
      <c r="H24" s="834">
        <v>0</v>
      </c>
      <c r="I24" s="834">
        <v>0</v>
      </c>
      <c r="J24" s="834">
        <v>0</v>
      </c>
      <c r="K24" s="834">
        <v>0</v>
      </c>
      <c r="L24" s="834">
        <v>0</v>
      </c>
      <c r="M24" s="834">
        <v>0</v>
      </c>
      <c r="N24" s="834">
        <v>0</v>
      </c>
      <c r="O24" s="834">
        <v>0</v>
      </c>
      <c r="P24" s="834">
        <v>0</v>
      </c>
      <c r="Q24" s="834">
        <v>0</v>
      </c>
      <c r="R24" s="834">
        <v>0</v>
      </c>
      <c r="S24" s="834">
        <v>0</v>
      </c>
      <c r="T24" s="834">
        <v>0</v>
      </c>
      <c r="U24" s="834">
        <v>0</v>
      </c>
      <c r="V24" s="834">
        <v>0</v>
      </c>
      <c r="W24" s="834">
        <v>0</v>
      </c>
      <c r="X24" s="835">
        <v>0</v>
      </c>
    </row>
    <row r="25" spans="1:24" ht="15.75" customHeight="1" thickBot="1" x14ac:dyDescent="0.4">
      <c r="C25" s="832">
        <v>9.75</v>
      </c>
      <c r="D25" s="836">
        <v>0</v>
      </c>
      <c r="E25" s="837">
        <v>0</v>
      </c>
      <c r="F25" s="837">
        <v>0</v>
      </c>
      <c r="G25" s="837">
        <v>0</v>
      </c>
      <c r="H25" s="837">
        <v>0</v>
      </c>
      <c r="I25" s="837">
        <v>0</v>
      </c>
      <c r="J25" s="837">
        <v>0</v>
      </c>
      <c r="K25" s="837">
        <v>0</v>
      </c>
      <c r="L25" s="837">
        <v>0</v>
      </c>
      <c r="M25" s="837">
        <v>0</v>
      </c>
      <c r="N25" s="837">
        <v>0</v>
      </c>
      <c r="O25" s="837">
        <v>0</v>
      </c>
      <c r="P25" s="837">
        <v>0</v>
      </c>
      <c r="Q25" s="837">
        <v>0</v>
      </c>
      <c r="R25" s="837">
        <v>0</v>
      </c>
      <c r="S25" s="837">
        <v>0</v>
      </c>
      <c r="T25" s="837">
        <v>0</v>
      </c>
      <c r="U25" s="837">
        <v>0</v>
      </c>
      <c r="V25" s="837">
        <v>0</v>
      </c>
      <c r="W25" s="837">
        <v>0</v>
      </c>
      <c r="X25" s="838">
        <v>0</v>
      </c>
    </row>
    <row r="26" spans="1:24" ht="15" thickBot="1" x14ac:dyDescent="0.4">
      <c r="C26" s="839"/>
      <c r="D26" s="840">
        <v>0.57999999999999996</v>
      </c>
      <c r="E26" s="826">
        <v>1.7399999999999998</v>
      </c>
      <c r="F26" s="826">
        <v>2.9</v>
      </c>
      <c r="G26" s="826">
        <v>4.0599999999999996</v>
      </c>
      <c r="H26" s="826">
        <v>5.22</v>
      </c>
      <c r="I26" s="826">
        <v>6.38</v>
      </c>
      <c r="J26" s="826">
        <v>7.5399999999999991</v>
      </c>
      <c r="K26" s="826">
        <v>8.6999999999999993</v>
      </c>
      <c r="L26" s="826">
        <v>9.86</v>
      </c>
      <c r="M26" s="826">
        <v>11.02</v>
      </c>
      <c r="N26" s="826">
        <v>12.18</v>
      </c>
      <c r="O26" s="826">
        <v>13.34</v>
      </c>
      <c r="P26" s="826">
        <v>14.499999999999998</v>
      </c>
      <c r="Q26" s="826">
        <v>15.659999999999998</v>
      </c>
      <c r="R26" s="826">
        <v>16.82</v>
      </c>
      <c r="S26" s="826">
        <v>17.98</v>
      </c>
      <c r="T26" s="826">
        <v>19.139999999999997</v>
      </c>
      <c r="U26" s="826">
        <v>20.299999999999997</v>
      </c>
      <c r="V26" s="826">
        <v>21.459999999999997</v>
      </c>
      <c r="W26" s="826">
        <v>22.619999999999997</v>
      </c>
      <c r="X26" s="827">
        <v>23.779999999999998</v>
      </c>
    </row>
    <row r="27" spans="1:24" ht="15.75" customHeight="1" x14ac:dyDescent="0.35">
      <c r="D27" s="725" t="s">
        <v>1375</v>
      </c>
    </row>
    <row r="30" spans="1:24" x14ac:dyDescent="0.35">
      <c r="A30" s="725" t="s">
        <v>1382</v>
      </c>
    </row>
    <row r="32" spans="1:24" ht="15" thickBot="1" x14ac:dyDescent="0.4">
      <c r="D32" s="725" t="s">
        <v>1373</v>
      </c>
    </row>
    <row r="33" spans="2:24" ht="15" thickBot="1" x14ac:dyDescent="0.4">
      <c r="C33" s="824"/>
      <c r="D33" s="825">
        <v>0.5</v>
      </c>
      <c r="E33" s="826">
        <v>1.5</v>
      </c>
      <c r="F33" s="826">
        <v>2.5</v>
      </c>
      <c r="G33" s="826">
        <v>3.5</v>
      </c>
      <c r="H33" s="826">
        <v>4.5</v>
      </c>
      <c r="I33" s="826">
        <v>5.5</v>
      </c>
      <c r="J33" s="826">
        <v>6.5</v>
      </c>
      <c r="K33" s="826">
        <v>7.5</v>
      </c>
      <c r="L33" s="826">
        <v>8.5</v>
      </c>
      <c r="M33" s="826">
        <v>9.5</v>
      </c>
      <c r="N33" s="826">
        <v>10.5</v>
      </c>
      <c r="O33" s="826">
        <v>11.5</v>
      </c>
      <c r="P33" s="826">
        <v>12.5</v>
      </c>
      <c r="Q33" s="826">
        <v>13.5</v>
      </c>
      <c r="R33" s="826">
        <v>14.5</v>
      </c>
      <c r="S33" s="826">
        <v>15.5</v>
      </c>
      <c r="T33" s="826">
        <v>16.5</v>
      </c>
      <c r="U33" s="826">
        <v>17.5</v>
      </c>
      <c r="V33" s="826">
        <v>18.5</v>
      </c>
      <c r="W33" s="826">
        <v>19.5</v>
      </c>
      <c r="X33" s="827">
        <v>20.5</v>
      </c>
    </row>
    <row r="34" spans="2:24" x14ac:dyDescent="0.35">
      <c r="B34" s="725" t="s">
        <v>1374</v>
      </c>
      <c r="C34" s="828">
        <v>0.25</v>
      </c>
      <c r="D34" s="829">
        <v>0</v>
      </c>
      <c r="E34" s="830">
        <v>0</v>
      </c>
      <c r="F34" s="830">
        <v>0</v>
      </c>
      <c r="G34" s="830">
        <v>0</v>
      </c>
      <c r="H34" s="830">
        <v>0</v>
      </c>
      <c r="I34" s="830">
        <v>0</v>
      </c>
      <c r="J34" s="830">
        <v>0</v>
      </c>
      <c r="K34" s="830">
        <v>7.4207470345290298</v>
      </c>
      <c r="L34" s="830">
        <v>10.904040497108801</v>
      </c>
      <c r="M34" s="830">
        <v>0</v>
      </c>
      <c r="N34" s="830">
        <v>0</v>
      </c>
      <c r="O34" s="830">
        <v>0</v>
      </c>
      <c r="P34" s="830">
        <v>0</v>
      </c>
      <c r="Q34" s="830">
        <v>0</v>
      </c>
      <c r="R34" s="830">
        <v>0</v>
      </c>
      <c r="S34" s="830">
        <v>0</v>
      </c>
      <c r="T34" s="830">
        <v>0</v>
      </c>
      <c r="U34" s="830">
        <v>0</v>
      </c>
      <c r="V34" s="830">
        <v>0</v>
      </c>
      <c r="W34" s="830">
        <v>0</v>
      </c>
      <c r="X34" s="831">
        <v>0</v>
      </c>
    </row>
    <row r="35" spans="2:24" x14ac:dyDescent="0.35">
      <c r="C35" s="832">
        <v>0.75</v>
      </c>
      <c r="D35" s="833">
        <v>0</v>
      </c>
      <c r="E35" s="834">
        <v>0</v>
      </c>
      <c r="F35" s="834">
        <v>0</v>
      </c>
      <c r="G35" s="834">
        <v>0</v>
      </c>
      <c r="H35" s="834">
        <v>5.35584565355013</v>
      </c>
      <c r="I35" s="834">
        <v>13.263834704708</v>
      </c>
      <c r="J35" s="834">
        <v>26.5002185080379</v>
      </c>
      <c r="K35" s="834">
        <v>36.519952847835803</v>
      </c>
      <c r="L35" s="834">
        <v>41.581187349435503</v>
      </c>
      <c r="M35" s="834">
        <v>43.929390965869402</v>
      </c>
      <c r="N35" s="834">
        <v>45.019172474937299</v>
      </c>
      <c r="O35" s="834">
        <v>45.250974596104598</v>
      </c>
      <c r="P35" s="834">
        <v>45.145295905468103</v>
      </c>
      <c r="Q35" s="834">
        <v>0</v>
      </c>
      <c r="R35" s="834">
        <v>0</v>
      </c>
      <c r="S35" s="834">
        <v>0</v>
      </c>
      <c r="T35" s="834">
        <v>0</v>
      </c>
      <c r="U35" s="834">
        <v>0</v>
      </c>
      <c r="V35" s="834">
        <v>0</v>
      </c>
      <c r="W35" s="834">
        <v>0</v>
      </c>
      <c r="X35" s="835">
        <v>0</v>
      </c>
    </row>
    <row r="36" spans="2:24" x14ac:dyDescent="0.35">
      <c r="C36" s="832">
        <v>1.25</v>
      </c>
      <c r="D36" s="833">
        <v>0</v>
      </c>
      <c r="E36" s="834">
        <v>0</v>
      </c>
      <c r="F36" s="834">
        <v>0</v>
      </c>
      <c r="G36" s="834">
        <v>0</v>
      </c>
      <c r="H36" s="834">
        <v>15.752095674966601</v>
      </c>
      <c r="I36" s="834">
        <v>37.289260041215698</v>
      </c>
      <c r="J36" s="834">
        <v>56.440453929142599</v>
      </c>
      <c r="K36" s="834">
        <v>68.683936877346198</v>
      </c>
      <c r="L36" s="834">
        <v>75.292878384978707</v>
      </c>
      <c r="M36" s="834">
        <v>77.768388020280895</v>
      </c>
      <c r="N36" s="834">
        <v>79.112736567912805</v>
      </c>
      <c r="O36" s="834">
        <v>78.668780499058997</v>
      </c>
      <c r="P36" s="834">
        <v>77.913843462384506</v>
      </c>
      <c r="Q36" s="834">
        <v>77.181208147020598</v>
      </c>
      <c r="R36" s="834">
        <v>76.157557956511496</v>
      </c>
      <c r="S36" s="834">
        <v>73.878807734794194</v>
      </c>
      <c r="T36" s="834">
        <v>0</v>
      </c>
      <c r="U36" s="834">
        <v>0</v>
      </c>
      <c r="V36" s="834">
        <v>0</v>
      </c>
      <c r="W36" s="834">
        <v>0</v>
      </c>
      <c r="X36" s="835">
        <v>0</v>
      </c>
    </row>
    <row r="37" spans="2:24" x14ac:dyDescent="0.35">
      <c r="C37" s="832">
        <v>1.75</v>
      </c>
      <c r="D37" s="833">
        <v>0</v>
      </c>
      <c r="E37" s="834">
        <v>0</v>
      </c>
      <c r="F37" s="834">
        <v>0</v>
      </c>
      <c r="G37" s="834">
        <v>0</v>
      </c>
      <c r="H37" s="834">
        <v>0</v>
      </c>
      <c r="I37" s="834">
        <v>63.695724288613</v>
      </c>
      <c r="J37" s="834">
        <v>88.819857041531904</v>
      </c>
      <c r="K37" s="834">
        <v>102.659188048084</v>
      </c>
      <c r="L37" s="834">
        <v>110.311304413729</v>
      </c>
      <c r="M37" s="834">
        <v>112.718856635976</v>
      </c>
      <c r="N37" s="834">
        <v>114.204839466397</v>
      </c>
      <c r="O37" s="834">
        <v>113.219428480999</v>
      </c>
      <c r="P37" s="834">
        <v>111.619816566967</v>
      </c>
      <c r="Q37" s="834">
        <v>110.192821523438</v>
      </c>
      <c r="R37" s="834">
        <v>108.332575421816</v>
      </c>
      <c r="S37" s="834">
        <v>104.876641924244</v>
      </c>
      <c r="T37" s="834">
        <v>0</v>
      </c>
      <c r="U37" s="834">
        <v>0</v>
      </c>
      <c r="V37" s="834">
        <v>0</v>
      </c>
      <c r="W37" s="834">
        <v>0</v>
      </c>
      <c r="X37" s="835">
        <v>0</v>
      </c>
    </row>
    <row r="38" spans="2:24" x14ac:dyDescent="0.35">
      <c r="C38" s="832">
        <v>2.25</v>
      </c>
      <c r="D38" s="833">
        <v>0</v>
      </c>
      <c r="E38" s="834">
        <v>0</v>
      </c>
      <c r="F38" s="834">
        <v>0</v>
      </c>
      <c r="G38" s="834">
        <v>0</v>
      </c>
      <c r="H38" s="834">
        <v>0</v>
      </c>
      <c r="I38" s="834">
        <v>0</v>
      </c>
      <c r="J38" s="834">
        <v>122.04986524599801</v>
      </c>
      <c r="K38" s="834">
        <v>137.94018607622399</v>
      </c>
      <c r="L38" s="834">
        <v>146.13523603186499</v>
      </c>
      <c r="M38" s="834">
        <v>148.332585950301</v>
      </c>
      <c r="N38" s="834">
        <v>149.89928138409499</v>
      </c>
      <c r="O38" s="834">
        <v>148.41485291184901</v>
      </c>
      <c r="P38" s="834">
        <v>145.83559340007801</v>
      </c>
      <c r="Q38" s="834">
        <v>143.625354955418</v>
      </c>
      <c r="R38" s="834">
        <v>141.02366037303301</v>
      </c>
      <c r="S38" s="834">
        <v>136.33108731326701</v>
      </c>
      <c r="T38" s="834">
        <v>131.719052921215</v>
      </c>
      <c r="U38" s="834">
        <v>0</v>
      </c>
      <c r="V38" s="834">
        <v>0</v>
      </c>
      <c r="W38" s="834">
        <v>0</v>
      </c>
      <c r="X38" s="835">
        <v>0</v>
      </c>
    </row>
    <row r="39" spans="2:24" x14ac:dyDescent="0.35">
      <c r="C39" s="832">
        <v>2.75</v>
      </c>
      <c r="D39" s="833">
        <v>0</v>
      </c>
      <c r="E39" s="834">
        <v>0</v>
      </c>
      <c r="F39" s="834">
        <v>0</v>
      </c>
      <c r="G39" s="834">
        <v>0</v>
      </c>
      <c r="H39" s="834">
        <v>0</v>
      </c>
      <c r="I39" s="834">
        <v>0</v>
      </c>
      <c r="J39" s="834">
        <v>155.97103727529901</v>
      </c>
      <c r="K39" s="834">
        <v>174.16957154977399</v>
      </c>
      <c r="L39" s="834">
        <v>182.53426156520499</v>
      </c>
      <c r="M39" s="834">
        <v>184.43001981179901</v>
      </c>
      <c r="N39" s="834">
        <v>185.99725258376199</v>
      </c>
      <c r="O39" s="834">
        <v>184.01008072801901</v>
      </c>
      <c r="P39" s="834">
        <v>180.45364133058899</v>
      </c>
      <c r="Q39" s="834">
        <v>177.381884848449</v>
      </c>
      <c r="R39" s="834">
        <v>173.99083731369899</v>
      </c>
      <c r="S39" s="834">
        <v>168.11126492909801</v>
      </c>
      <c r="T39" s="834">
        <v>162.32793412095401</v>
      </c>
      <c r="U39" s="834">
        <v>0</v>
      </c>
      <c r="V39" s="834">
        <v>0</v>
      </c>
      <c r="W39" s="834">
        <v>0</v>
      </c>
      <c r="X39" s="835">
        <v>0</v>
      </c>
    </row>
    <row r="40" spans="2:24" x14ac:dyDescent="0.35">
      <c r="C40" s="832">
        <v>3.25</v>
      </c>
      <c r="D40" s="833">
        <v>0</v>
      </c>
      <c r="E40" s="834">
        <v>0</v>
      </c>
      <c r="F40" s="834">
        <v>0</v>
      </c>
      <c r="G40" s="834">
        <v>0</v>
      </c>
      <c r="H40" s="834">
        <v>0</v>
      </c>
      <c r="I40" s="834">
        <v>0</v>
      </c>
      <c r="J40" s="834">
        <v>0</v>
      </c>
      <c r="K40" s="834">
        <v>210.98675089586601</v>
      </c>
      <c r="L40" s="834">
        <v>219.39457356310399</v>
      </c>
      <c r="M40" s="834">
        <v>220.891823623454</v>
      </c>
      <c r="N40" s="834">
        <v>222.40217915528299</v>
      </c>
      <c r="O40" s="834">
        <v>219.89322265069501</v>
      </c>
      <c r="P40" s="834">
        <v>215.387644599319</v>
      </c>
      <c r="Q40" s="834">
        <v>211.387608557991</v>
      </c>
      <c r="R40" s="834">
        <v>207.155153489079</v>
      </c>
      <c r="S40" s="834">
        <v>200.174215777146</v>
      </c>
      <c r="T40" s="834">
        <v>193.16938232572599</v>
      </c>
      <c r="U40" s="834">
        <v>185.35223625616999</v>
      </c>
      <c r="V40" s="834">
        <v>178.12199387370899</v>
      </c>
      <c r="W40" s="834">
        <v>0</v>
      </c>
      <c r="X40" s="835">
        <v>0</v>
      </c>
    </row>
    <row r="41" spans="2:24" x14ac:dyDescent="0.35">
      <c r="C41" s="832">
        <v>3.75</v>
      </c>
      <c r="D41" s="833">
        <v>0</v>
      </c>
      <c r="E41" s="834">
        <v>0</v>
      </c>
      <c r="F41" s="834">
        <v>0</v>
      </c>
      <c r="G41" s="834">
        <v>0</v>
      </c>
      <c r="H41" s="834">
        <v>0</v>
      </c>
      <c r="I41" s="834">
        <v>0</v>
      </c>
      <c r="J41" s="834">
        <v>0</v>
      </c>
      <c r="K41" s="834">
        <v>248.286560893635</v>
      </c>
      <c r="L41" s="834">
        <v>256.63969057462799</v>
      </c>
      <c r="M41" s="834">
        <v>257.636941101378</v>
      </c>
      <c r="N41" s="834">
        <v>259.04335997574702</v>
      </c>
      <c r="O41" s="834">
        <v>256.00237417977399</v>
      </c>
      <c r="P41" s="834">
        <v>250.57153670436401</v>
      </c>
      <c r="Q41" s="834">
        <v>245.59438947800101</v>
      </c>
      <c r="R41" s="834">
        <v>240.48011084274199</v>
      </c>
      <c r="S41" s="834">
        <v>232.41007795444901</v>
      </c>
      <c r="T41" s="834">
        <v>224.20713688747699</v>
      </c>
      <c r="U41" s="834">
        <v>0</v>
      </c>
      <c r="V41" s="834">
        <v>0</v>
      </c>
      <c r="W41" s="834">
        <v>0</v>
      </c>
      <c r="X41" s="835">
        <v>0</v>
      </c>
    </row>
    <row r="42" spans="2:24" x14ac:dyDescent="0.35">
      <c r="C42" s="832">
        <v>4.25</v>
      </c>
      <c r="D42" s="833">
        <v>0</v>
      </c>
      <c r="E42" s="834">
        <v>0</v>
      </c>
      <c r="F42" s="834">
        <v>0</v>
      </c>
      <c r="G42" s="834">
        <v>0</v>
      </c>
      <c r="H42" s="834">
        <v>0</v>
      </c>
      <c r="I42" s="834">
        <v>0</v>
      </c>
      <c r="J42" s="834">
        <v>0</v>
      </c>
      <c r="K42" s="834">
        <v>0</v>
      </c>
      <c r="L42" s="834">
        <v>294.18347491411402</v>
      </c>
      <c r="M42" s="834">
        <v>294.61594513901701</v>
      </c>
      <c r="N42" s="834">
        <v>295.87598600911502</v>
      </c>
      <c r="O42" s="834">
        <v>292.30403134425001</v>
      </c>
      <c r="P42" s="834">
        <v>285.97623566697501</v>
      </c>
      <c r="Q42" s="834">
        <v>279.96499360828699</v>
      </c>
      <c r="R42" s="834">
        <v>273.93470036150802</v>
      </c>
      <c r="S42" s="834">
        <v>264.76092038279302</v>
      </c>
      <c r="T42" s="834">
        <v>255.41622186558101</v>
      </c>
      <c r="U42" s="834">
        <v>0</v>
      </c>
      <c r="V42" s="834">
        <v>0</v>
      </c>
      <c r="W42" s="834">
        <v>0</v>
      </c>
      <c r="X42" s="835">
        <v>0</v>
      </c>
    </row>
    <row r="43" spans="2:24" x14ac:dyDescent="0.35">
      <c r="C43" s="832">
        <v>4.75</v>
      </c>
      <c r="D43" s="833">
        <v>0</v>
      </c>
      <c r="E43" s="834">
        <v>0</v>
      </c>
      <c r="F43" s="834">
        <v>0</v>
      </c>
      <c r="G43" s="834">
        <v>0</v>
      </c>
      <c r="H43" s="834">
        <v>0</v>
      </c>
      <c r="I43" s="834">
        <v>0</v>
      </c>
      <c r="J43" s="834">
        <v>0</v>
      </c>
      <c r="K43" s="834">
        <v>0</v>
      </c>
      <c r="L43" s="834">
        <v>331.981768348689</v>
      </c>
      <c r="M43" s="834">
        <v>331.79332658819402</v>
      </c>
      <c r="N43" s="834">
        <v>332.87053017221001</v>
      </c>
      <c r="O43" s="834">
        <v>328.75903772297602</v>
      </c>
      <c r="P43" s="834">
        <v>321.57541691151999</v>
      </c>
      <c r="Q43" s="834">
        <v>314.49237362492698</v>
      </c>
      <c r="R43" s="834">
        <v>307.49497976137002</v>
      </c>
      <c r="S43" s="834">
        <v>297.22163017767798</v>
      </c>
      <c r="T43" s="834">
        <v>286.77609172992999</v>
      </c>
      <c r="U43" s="834">
        <v>0</v>
      </c>
      <c r="V43" s="834">
        <v>0</v>
      </c>
      <c r="W43" s="834">
        <v>0</v>
      </c>
      <c r="X43" s="835">
        <v>0</v>
      </c>
    </row>
    <row r="44" spans="2:24" x14ac:dyDescent="0.35">
      <c r="C44" s="832">
        <v>5.25</v>
      </c>
      <c r="D44" s="833">
        <v>0</v>
      </c>
      <c r="E44" s="834">
        <v>0</v>
      </c>
      <c r="F44" s="834">
        <v>0</v>
      </c>
      <c r="G44" s="834">
        <v>0</v>
      </c>
      <c r="H44" s="834">
        <v>0</v>
      </c>
      <c r="I44" s="834">
        <v>0</v>
      </c>
      <c r="J44" s="834">
        <v>0</v>
      </c>
      <c r="K44" s="834">
        <v>0</v>
      </c>
      <c r="L44" s="834">
        <v>0</v>
      </c>
      <c r="M44" s="834">
        <v>369.14479788180103</v>
      </c>
      <c r="N44" s="834">
        <v>370.000125893985</v>
      </c>
      <c r="O44" s="834">
        <v>365.342188960138</v>
      </c>
      <c r="P44" s="834">
        <v>357.345726875183</v>
      </c>
      <c r="Q44" s="834">
        <v>349.171609108388</v>
      </c>
      <c r="R44" s="834">
        <v>341.14287721125999</v>
      </c>
      <c r="S44" s="834">
        <v>329.76974645257297</v>
      </c>
      <c r="T44" s="834">
        <v>0</v>
      </c>
      <c r="U44" s="834">
        <v>0</v>
      </c>
      <c r="V44" s="834">
        <v>0</v>
      </c>
      <c r="W44" s="834">
        <v>0</v>
      </c>
      <c r="X44" s="835">
        <v>0</v>
      </c>
    </row>
    <row r="45" spans="2:24" x14ac:dyDescent="0.35">
      <c r="C45" s="832">
        <v>5.75</v>
      </c>
      <c r="D45" s="833">
        <v>0</v>
      </c>
      <c r="E45" s="834">
        <v>0</v>
      </c>
      <c r="F45" s="834">
        <v>0</v>
      </c>
      <c r="G45" s="834">
        <v>0</v>
      </c>
      <c r="H45" s="834">
        <v>0</v>
      </c>
      <c r="I45" s="834">
        <v>0</v>
      </c>
      <c r="J45" s="834">
        <v>0</v>
      </c>
      <c r="K45" s="834">
        <v>0</v>
      </c>
      <c r="L45" s="834">
        <v>0</v>
      </c>
      <c r="M45" s="834">
        <v>0</v>
      </c>
      <c r="N45" s="834">
        <v>0</v>
      </c>
      <c r="O45" s="834">
        <v>402.03336052922702</v>
      </c>
      <c r="P45" s="834">
        <v>393.24047354281902</v>
      </c>
      <c r="Q45" s="834">
        <v>383.93661794495301</v>
      </c>
      <c r="R45" s="834">
        <v>374.86865180055901</v>
      </c>
      <c r="S45" s="834">
        <v>362.38811802543398</v>
      </c>
      <c r="T45" s="834">
        <v>0</v>
      </c>
      <c r="U45" s="834">
        <v>0</v>
      </c>
      <c r="V45" s="834">
        <v>0</v>
      </c>
      <c r="W45" s="834">
        <v>0</v>
      </c>
      <c r="X45" s="835">
        <v>0</v>
      </c>
    </row>
    <row r="46" spans="2:24" x14ac:dyDescent="0.35">
      <c r="C46" s="832">
        <v>6.25</v>
      </c>
      <c r="D46" s="833">
        <v>0</v>
      </c>
      <c r="E46" s="834">
        <v>0</v>
      </c>
      <c r="F46" s="834">
        <v>0</v>
      </c>
      <c r="G46" s="834">
        <v>0</v>
      </c>
      <c r="H46" s="834">
        <v>0</v>
      </c>
      <c r="I46" s="834">
        <v>0</v>
      </c>
      <c r="J46" s="834">
        <v>0</v>
      </c>
      <c r="K46" s="834">
        <v>0</v>
      </c>
      <c r="L46" s="834">
        <v>0</v>
      </c>
      <c r="M46" s="834">
        <v>0</v>
      </c>
      <c r="N46" s="834">
        <v>0</v>
      </c>
      <c r="O46" s="834">
        <v>0</v>
      </c>
      <c r="P46" s="834">
        <v>429.22295884441098</v>
      </c>
      <c r="Q46" s="834">
        <v>418.788107599895</v>
      </c>
      <c r="R46" s="834">
        <v>408.67032532200398</v>
      </c>
      <c r="S46" s="834">
        <v>395.06902817434502</v>
      </c>
      <c r="T46" s="834">
        <v>0</v>
      </c>
      <c r="U46" s="834">
        <v>0</v>
      </c>
      <c r="V46" s="834">
        <v>0</v>
      </c>
      <c r="W46" s="834">
        <v>0</v>
      </c>
      <c r="X46" s="835">
        <v>0</v>
      </c>
    </row>
    <row r="47" spans="2:24" x14ac:dyDescent="0.35">
      <c r="C47" s="832">
        <v>6.75</v>
      </c>
      <c r="D47" s="833">
        <v>0</v>
      </c>
      <c r="E47" s="834">
        <v>0</v>
      </c>
      <c r="F47" s="834">
        <v>0</v>
      </c>
      <c r="G47" s="834">
        <v>0</v>
      </c>
      <c r="H47" s="834">
        <v>0</v>
      </c>
      <c r="I47" s="834">
        <v>0</v>
      </c>
      <c r="J47" s="834">
        <v>0</v>
      </c>
      <c r="K47" s="834">
        <v>0</v>
      </c>
      <c r="L47" s="834">
        <v>0</v>
      </c>
      <c r="M47" s="834">
        <v>0</v>
      </c>
      <c r="N47" s="834">
        <v>0</v>
      </c>
      <c r="O47" s="834">
        <v>0</v>
      </c>
      <c r="P47" s="834">
        <v>0</v>
      </c>
      <c r="Q47" s="834">
        <v>449.15588459470348</v>
      </c>
      <c r="R47" s="834">
        <v>442.53149460056102</v>
      </c>
      <c r="S47" s="834">
        <v>0</v>
      </c>
      <c r="T47" s="834">
        <v>0</v>
      </c>
      <c r="U47" s="834">
        <v>0</v>
      </c>
      <c r="V47" s="834">
        <v>0</v>
      </c>
      <c r="W47" s="834">
        <v>0</v>
      </c>
      <c r="X47" s="835">
        <v>0</v>
      </c>
    </row>
    <row r="48" spans="2:24" ht="15.75" customHeight="1" x14ac:dyDescent="0.35">
      <c r="C48" s="832">
        <v>7.25</v>
      </c>
      <c r="D48" s="833">
        <v>0</v>
      </c>
      <c r="E48" s="834">
        <v>0</v>
      </c>
      <c r="F48" s="834">
        <v>0</v>
      </c>
      <c r="G48" s="834">
        <v>0</v>
      </c>
      <c r="H48" s="834">
        <v>0</v>
      </c>
      <c r="I48" s="834">
        <v>0</v>
      </c>
      <c r="J48" s="834">
        <v>0</v>
      </c>
      <c r="K48" s="834">
        <v>0</v>
      </c>
      <c r="L48" s="834">
        <v>0</v>
      </c>
      <c r="M48" s="834">
        <v>0</v>
      </c>
      <c r="N48" s="834">
        <v>0</v>
      </c>
      <c r="O48" s="834">
        <v>0</v>
      </c>
      <c r="P48" s="834">
        <v>0</v>
      </c>
      <c r="Q48" s="834">
        <v>0</v>
      </c>
      <c r="R48" s="834">
        <v>0</v>
      </c>
      <c r="S48" s="834">
        <v>0</v>
      </c>
      <c r="T48" s="834">
        <v>0</v>
      </c>
      <c r="U48" s="834">
        <v>0</v>
      </c>
      <c r="V48" s="834">
        <v>0</v>
      </c>
      <c r="W48" s="834">
        <v>0</v>
      </c>
      <c r="X48" s="835">
        <v>0</v>
      </c>
    </row>
    <row r="49" spans="2:24" x14ac:dyDescent="0.35">
      <c r="C49" s="832">
        <v>7.75</v>
      </c>
      <c r="D49" s="833">
        <v>0</v>
      </c>
      <c r="E49" s="834">
        <v>0</v>
      </c>
      <c r="F49" s="834">
        <v>0</v>
      </c>
      <c r="G49" s="834">
        <v>0</v>
      </c>
      <c r="H49" s="834">
        <v>0</v>
      </c>
      <c r="I49" s="834">
        <v>0</v>
      </c>
      <c r="J49" s="834">
        <v>0</v>
      </c>
      <c r="K49" s="834">
        <v>0</v>
      </c>
      <c r="L49" s="834">
        <v>0</v>
      </c>
      <c r="M49" s="834">
        <v>0</v>
      </c>
      <c r="N49" s="834">
        <v>0</v>
      </c>
      <c r="O49" s="834">
        <v>0</v>
      </c>
      <c r="P49" s="834">
        <v>0</v>
      </c>
      <c r="Q49" s="834">
        <v>0</v>
      </c>
      <c r="R49" s="834">
        <v>0</v>
      </c>
      <c r="S49" s="834">
        <v>0</v>
      </c>
      <c r="T49" s="834">
        <v>0</v>
      </c>
      <c r="U49" s="834">
        <v>0</v>
      </c>
      <c r="V49" s="834">
        <v>0</v>
      </c>
      <c r="W49" s="834">
        <v>0</v>
      </c>
      <c r="X49" s="835">
        <v>0</v>
      </c>
    </row>
    <row r="50" spans="2:24" x14ac:dyDescent="0.35">
      <c r="C50" s="832">
        <v>8.25</v>
      </c>
      <c r="D50" s="833">
        <v>0</v>
      </c>
      <c r="E50" s="834">
        <v>0</v>
      </c>
      <c r="F50" s="834">
        <v>0</v>
      </c>
      <c r="G50" s="834">
        <v>0</v>
      </c>
      <c r="H50" s="834">
        <v>0</v>
      </c>
      <c r="I50" s="834">
        <v>0</v>
      </c>
      <c r="J50" s="834">
        <v>0</v>
      </c>
      <c r="K50" s="834">
        <v>0</v>
      </c>
      <c r="L50" s="834">
        <v>0</v>
      </c>
      <c r="M50" s="834">
        <v>0</v>
      </c>
      <c r="N50" s="834">
        <v>0</v>
      </c>
      <c r="O50" s="834">
        <v>0</v>
      </c>
      <c r="P50" s="834">
        <v>0</v>
      </c>
      <c r="Q50" s="834">
        <v>0</v>
      </c>
      <c r="R50" s="834">
        <v>0</v>
      </c>
      <c r="S50" s="834">
        <v>0</v>
      </c>
      <c r="T50" s="834">
        <v>0</v>
      </c>
      <c r="U50" s="834">
        <v>0</v>
      </c>
      <c r="V50" s="834">
        <v>0</v>
      </c>
      <c r="W50" s="834">
        <v>0</v>
      </c>
      <c r="X50" s="835">
        <v>0</v>
      </c>
    </row>
    <row r="51" spans="2:24" x14ac:dyDescent="0.35">
      <c r="C51" s="832">
        <v>8.75</v>
      </c>
      <c r="D51" s="833">
        <v>0</v>
      </c>
      <c r="E51" s="834">
        <v>0</v>
      </c>
      <c r="F51" s="834">
        <v>0</v>
      </c>
      <c r="G51" s="834">
        <v>0</v>
      </c>
      <c r="H51" s="834">
        <v>0</v>
      </c>
      <c r="I51" s="834">
        <v>0</v>
      </c>
      <c r="J51" s="834">
        <v>0</v>
      </c>
      <c r="K51" s="834">
        <v>0</v>
      </c>
      <c r="L51" s="834">
        <v>0</v>
      </c>
      <c r="M51" s="834">
        <v>0</v>
      </c>
      <c r="N51" s="834">
        <v>0</v>
      </c>
      <c r="O51" s="834">
        <v>0</v>
      </c>
      <c r="P51" s="834">
        <v>0</v>
      </c>
      <c r="Q51" s="834">
        <v>0</v>
      </c>
      <c r="R51" s="834">
        <v>0</v>
      </c>
      <c r="S51" s="834">
        <v>0</v>
      </c>
      <c r="T51" s="834">
        <v>0</v>
      </c>
      <c r="U51" s="834">
        <v>0</v>
      </c>
      <c r="V51" s="834">
        <v>0</v>
      </c>
      <c r="W51" s="834">
        <v>0</v>
      </c>
      <c r="X51" s="835">
        <v>0</v>
      </c>
    </row>
    <row r="52" spans="2:24" x14ac:dyDescent="0.35">
      <c r="C52" s="832">
        <v>9.25</v>
      </c>
      <c r="D52" s="833">
        <v>0</v>
      </c>
      <c r="E52" s="834">
        <v>0</v>
      </c>
      <c r="F52" s="834">
        <v>0</v>
      </c>
      <c r="G52" s="834">
        <v>0</v>
      </c>
      <c r="H52" s="834">
        <v>0</v>
      </c>
      <c r="I52" s="834">
        <v>0</v>
      </c>
      <c r="J52" s="834">
        <v>0</v>
      </c>
      <c r="K52" s="834">
        <v>0</v>
      </c>
      <c r="L52" s="834">
        <v>0</v>
      </c>
      <c r="M52" s="834">
        <v>0</v>
      </c>
      <c r="N52" s="834">
        <v>0</v>
      </c>
      <c r="O52" s="834">
        <v>0</v>
      </c>
      <c r="P52" s="834">
        <v>0</v>
      </c>
      <c r="Q52" s="834">
        <v>0</v>
      </c>
      <c r="R52" s="834">
        <v>0</v>
      </c>
      <c r="S52" s="834">
        <v>0</v>
      </c>
      <c r="T52" s="834">
        <v>0</v>
      </c>
      <c r="U52" s="834">
        <v>0</v>
      </c>
      <c r="V52" s="834">
        <v>0</v>
      </c>
      <c r="W52" s="834">
        <v>0</v>
      </c>
      <c r="X52" s="835">
        <v>0</v>
      </c>
    </row>
    <row r="53" spans="2:24" ht="15" thickBot="1" x14ac:dyDescent="0.4">
      <c r="C53" s="832">
        <v>9.75</v>
      </c>
      <c r="D53" s="836">
        <v>0</v>
      </c>
      <c r="E53" s="837">
        <v>0</v>
      </c>
      <c r="F53" s="837">
        <v>0</v>
      </c>
      <c r="G53" s="837">
        <v>0</v>
      </c>
      <c r="H53" s="837">
        <v>0</v>
      </c>
      <c r="I53" s="837">
        <v>0</v>
      </c>
      <c r="J53" s="837">
        <v>0</v>
      </c>
      <c r="K53" s="837">
        <v>0</v>
      </c>
      <c r="L53" s="837">
        <v>0</v>
      </c>
      <c r="M53" s="837">
        <v>0</v>
      </c>
      <c r="N53" s="837">
        <v>0</v>
      </c>
      <c r="O53" s="837">
        <v>0</v>
      </c>
      <c r="P53" s="837">
        <v>0</v>
      </c>
      <c r="Q53" s="837">
        <v>0</v>
      </c>
      <c r="R53" s="837">
        <v>0</v>
      </c>
      <c r="S53" s="837">
        <v>0</v>
      </c>
      <c r="T53" s="837">
        <v>0</v>
      </c>
      <c r="U53" s="837">
        <v>0</v>
      </c>
      <c r="V53" s="837">
        <v>0</v>
      </c>
      <c r="W53" s="837">
        <v>0</v>
      </c>
      <c r="X53" s="838">
        <v>0</v>
      </c>
    </row>
    <row r="54" spans="2:24" ht="15" thickBot="1" x14ac:dyDescent="0.4">
      <c r="C54" s="839"/>
      <c r="D54" s="840">
        <v>0.57999999999999996</v>
      </c>
      <c r="E54" s="826">
        <v>1.7399999999999998</v>
      </c>
      <c r="F54" s="826">
        <v>2.9</v>
      </c>
      <c r="G54" s="826">
        <v>4.0599999999999996</v>
      </c>
      <c r="H54" s="826">
        <v>5.22</v>
      </c>
      <c r="I54" s="826">
        <v>6.38</v>
      </c>
      <c r="J54" s="826">
        <v>7.5399999999999991</v>
      </c>
      <c r="K54" s="826">
        <v>8.6999999999999993</v>
      </c>
      <c r="L54" s="826">
        <v>9.86</v>
      </c>
      <c r="M54" s="826">
        <v>11.02</v>
      </c>
      <c r="N54" s="826">
        <v>12.18</v>
      </c>
      <c r="O54" s="826">
        <v>13.34</v>
      </c>
      <c r="P54" s="826">
        <v>14.499999999999998</v>
      </c>
      <c r="Q54" s="826">
        <v>15.659999999999998</v>
      </c>
      <c r="R54" s="826">
        <v>16.82</v>
      </c>
      <c r="S54" s="826">
        <v>17.98</v>
      </c>
      <c r="T54" s="826">
        <v>19.139999999999997</v>
      </c>
      <c r="U54" s="826">
        <v>20.299999999999997</v>
      </c>
      <c r="V54" s="826">
        <v>21.459999999999997</v>
      </c>
      <c r="W54" s="826">
        <v>22.619999999999997</v>
      </c>
      <c r="X54" s="827">
        <v>23.779999999999998</v>
      </c>
    </row>
    <row r="55" spans="2:24" x14ac:dyDescent="0.35">
      <c r="D55" s="725" t="s">
        <v>1375</v>
      </c>
    </row>
    <row r="58" spans="2:24" ht="15.75" customHeight="1" x14ac:dyDescent="0.35">
      <c r="B58" s="725" t="s">
        <v>1383</v>
      </c>
    </row>
    <row r="60" spans="2:24" ht="15" thickBot="1" x14ac:dyDescent="0.4">
      <c r="D60" s="725" t="s">
        <v>1373</v>
      </c>
    </row>
    <row r="61" spans="2:24" ht="15" thickBot="1" x14ac:dyDescent="0.4">
      <c r="C61" s="824"/>
      <c r="D61" s="825">
        <v>0.5</v>
      </c>
      <c r="E61" s="826">
        <v>1.5</v>
      </c>
      <c r="F61" s="826">
        <v>2.5</v>
      </c>
      <c r="G61" s="826">
        <v>3.5</v>
      </c>
      <c r="H61" s="826">
        <v>4.5</v>
      </c>
      <c r="I61" s="826">
        <v>5.5</v>
      </c>
      <c r="J61" s="826">
        <v>6.5</v>
      </c>
      <c r="K61" s="826">
        <v>7.5</v>
      </c>
      <c r="L61" s="826">
        <v>8.5</v>
      </c>
      <c r="M61" s="826">
        <v>9.5</v>
      </c>
      <c r="N61" s="826">
        <v>10.5</v>
      </c>
      <c r="O61" s="826">
        <v>11.5</v>
      </c>
      <c r="P61" s="826">
        <v>12.5</v>
      </c>
      <c r="Q61" s="826">
        <v>13.5</v>
      </c>
      <c r="R61" s="826">
        <v>14.5</v>
      </c>
      <c r="S61" s="826">
        <v>15.5</v>
      </c>
      <c r="T61" s="826">
        <v>16.5</v>
      </c>
      <c r="U61" s="826">
        <v>17.5</v>
      </c>
      <c r="V61" s="826">
        <v>18.5</v>
      </c>
      <c r="W61" s="826">
        <v>19.5</v>
      </c>
      <c r="X61" s="827">
        <v>20.5</v>
      </c>
    </row>
    <row r="62" spans="2:24" x14ac:dyDescent="0.35">
      <c r="B62" s="725" t="s">
        <v>1374</v>
      </c>
      <c r="C62" s="828">
        <v>0.25</v>
      </c>
      <c r="D62" s="841">
        <f>IF(D6=0,0,D34/D6)</f>
        <v>0</v>
      </c>
      <c r="E62" s="842">
        <f t="shared" ref="E62:X62" si="0">IF(E6=0,0,E34/E6)</f>
        <v>0</v>
      </c>
      <c r="F62" s="842">
        <f t="shared" si="0"/>
        <v>0</v>
      </c>
      <c r="G62" s="842">
        <f t="shared" si="0"/>
        <v>0</v>
      </c>
      <c r="H62" s="842">
        <f t="shared" si="0"/>
        <v>0</v>
      </c>
      <c r="I62" s="842">
        <f t="shared" si="0"/>
        <v>0</v>
      </c>
      <c r="J62" s="842">
        <f t="shared" si="0"/>
        <v>0</v>
      </c>
      <c r="K62" s="842">
        <f t="shared" si="0"/>
        <v>11.429855606572877</v>
      </c>
      <c r="L62" s="842">
        <f t="shared" si="0"/>
        <v>16.088030179942674</v>
      </c>
      <c r="M62" s="842">
        <f t="shared" si="0"/>
        <v>0</v>
      </c>
      <c r="N62" s="842">
        <f t="shared" si="0"/>
        <v>0</v>
      </c>
      <c r="O62" s="842">
        <f t="shared" si="0"/>
        <v>0</v>
      </c>
      <c r="P62" s="842">
        <f t="shared" si="0"/>
        <v>0</v>
      </c>
      <c r="Q62" s="842">
        <f t="shared" si="0"/>
        <v>0</v>
      </c>
      <c r="R62" s="842">
        <f t="shared" si="0"/>
        <v>0</v>
      </c>
      <c r="S62" s="842">
        <f t="shared" si="0"/>
        <v>0</v>
      </c>
      <c r="T62" s="842">
        <f t="shared" si="0"/>
        <v>0</v>
      </c>
      <c r="U62" s="842">
        <f t="shared" si="0"/>
        <v>0</v>
      </c>
      <c r="V62" s="842">
        <f t="shared" si="0"/>
        <v>0</v>
      </c>
      <c r="W62" s="842">
        <f t="shared" si="0"/>
        <v>0</v>
      </c>
      <c r="X62" s="843">
        <f t="shared" si="0"/>
        <v>0</v>
      </c>
    </row>
    <row r="63" spans="2:24" x14ac:dyDescent="0.35">
      <c r="C63" s="832">
        <v>0.75</v>
      </c>
      <c r="D63" s="844">
        <f t="shared" ref="D63:X75" si="1">IF(D7=0,0,D35/D7)</f>
        <v>0</v>
      </c>
      <c r="E63" s="845">
        <f t="shared" si="1"/>
        <v>0</v>
      </c>
      <c r="F63" s="845">
        <f t="shared" si="1"/>
        <v>0</v>
      </c>
      <c r="G63" s="845">
        <f t="shared" si="1"/>
        <v>0</v>
      </c>
      <c r="H63" s="845">
        <f t="shared" si="1"/>
        <v>1.5077060363893799</v>
      </c>
      <c r="I63" s="845">
        <f t="shared" si="1"/>
        <v>2.8969988377759637</v>
      </c>
      <c r="J63" s="845">
        <f t="shared" si="1"/>
        <v>5.0914850148055448</v>
      </c>
      <c r="K63" s="845">
        <f t="shared" si="1"/>
        <v>6.2500114860756719</v>
      </c>
      <c r="L63" s="845">
        <f t="shared" si="1"/>
        <v>6.8166311293602782</v>
      </c>
      <c r="M63" s="845">
        <f t="shared" si="1"/>
        <v>7.192210150503886</v>
      </c>
      <c r="N63" s="845">
        <f t="shared" si="1"/>
        <v>7.4423147968941175</v>
      </c>
      <c r="O63" s="845">
        <f t="shared" si="1"/>
        <v>7.6778996552240546</v>
      </c>
      <c r="P63" s="845">
        <f t="shared" si="1"/>
        <v>7.9077800442685886</v>
      </c>
      <c r="Q63" s="845">
        <f t="shared" si="1"/>
        <v>0</v>
      </c>
      <c r="R63" s="845">
        <f t="shared" si="1"/>
        <v>0</v>
      </c>
      <c r="S63" s="845">
        <f t="shared" si="1"/>
        <v>0</v>
      </c>
      <c r="T63" s="845">
        <f t="shared" si="1"/>
        <v>0</v>
      </c>
      <c r="U63" s="845">
        <f t="shared" si="1"/>
        <v>0</v>
      </c>
      <c r="V63" s="845">
        <f t="shared" si="1"/>
        <v>0</v>
      </c>
      <c r="W63" s="845">
        <f t="shared" si="1"/>
        <v>0</v>
      </c>
      <c r="X63" s="846">
        <f t="shared" si="1"/>
        <v>0</v>
      </c>
    </row>
    <row r="64" spans="2:24" x14ac:dyDescent="0.35">
      <c r="C64" s="832">
        <v>1.25</v>
      </c>
      <c r="D64" s="844">
        <f t="shared" si="1"/>
        <v>0</v>
      </c>
      <c r="E64" s="845">
        <f t="shared" si="1"/>
        <v>0</v>
      </c>
      <c r="F64" s="845">
        <f t="shared" si="1"/>
        <v>0</v>
      </c>
      <c r="G64" s="845">
        <f t="shared" si="1"/>
        <v>0</v>
      </c>
      <c r="H64" s="845">
        <f t="shared" si="1"/>
        <v>1.5963549470301837</v>
      </c>
      <c r="I64" s="845">
        <f t="shared" si="1"/>
        <v>2.9320102629543578</v>
      </c>
      <c r="J64" s="845">
        <f t="shared" si="1"/>
        <v>3.9038040805542731</v>
      </c>
      <c r="K64" s="845">
        <f t="shared" si="1"/>
        <v>4.2316358573937549</v>
      </c>
      <c r="L64" s="845">
        <f t="shared" si="1"/>
        <v>4.4435421901210859</v>
      </c>
      <c r="M64" s="845">
        <f t="shared" si="1"/>
        <v>4.5836640997651585</v>
      </c>
      <c r="N64" s="845">
        <f t="shared" si="1"/>
        <v>4.7082491467736451</v>
      </c>
      <c r="O64" s="845">
        <f t="shared" si="1"/>
        <v>4.8052879060011051</v>
      </c>
      <c r="P64" s="845">
        <f t="shared" si="1"/>
        <v>4.9131407534890865</v>
      </c>
      <c r="Q64" s="845">
        <f t="shared" si="1"/>
        <v>5.0743479528187461</v>
      </c>
      <c r="R64" s="845">
        <f t="shared" si="1"/>
        <v>5.0912351804251985</v>
      </c>
      <c r="S64" s="845">
        <f t="shared" si="1"/>
        <v>5.1849322802095692</v>
      </c>
      <c r="T64" s="845">
        <f t="shared" si="1"/>
        <v>0</v>
      </c>
      <c r="U64" s="845">
        <f t="shared" si="1"/>
        <v>0</v>
      </c>
      <c r="V64" s="845">
        <f t="shared" si="1"/>
        <v>0</v>
      </c>
      <c r="W64" s="845">
        <f t="shared" si="1"/>
        <v>0</v>
      </c>
      <c r="X64" s="846">
        <f t="shared" si="1"/>
        <v>0</v>
      </c>
    </row>
    <row r="65" spans="3:24" x14ac:dyDescent="0.35">
      <c r="C65" s="832">
        <v>1.75</v>
      </c>
      <c r="D65" s="844">
        <f t="shared" si="1"/>
        <v>0</v>
      </c>
      <c r="E65" s="845">
        <f t="shared" si="1"/>
        <v>0</v>
      </c>
      <c r="F65" s="845">
        <f t="shared" si="1"/>
        <v>0</v>
      </c>
      <c r="G65" s="845">
        <f t="shared" si="1"/>
        <v>0</v>
      </c>
      <c r="H65" s="845">
        <f t="shared" si="1"/>
        <v>0</v>
      </c>
      <c r="I65" s="845">
        <f t="shared" si="1"/>
        <v>2.5552649020955087</v>
      </c>
      <c r="J65" s="845">
        <f t="shared" si="1"/>
        <v>3.1343790379926952</v>
      </c>
      <c r="K65" s="845">
        <f t="shared" si="1"/>
        <v>3.2269695083693186</v>
      </c>
      <c r="L65" s="845">
        <f t="shared" si="1"/>
        <v>3.3215390036109675</v>
      </c>
      <c r="M65" s="845">
        <f t="shared" si="1"/>
        <v>3.3896135776219354</v>
      </c>
      <c r="N65" s="845">
        <f t="shared" si="1"/>
        <v>3.4676995759464186</v>
      </c>
      <c r="O65" s="845">
        <f t="shared" si="1"/>
        <v>3.5284330576307443</v>
      </c>
      <c r="P65" s="845">
        <f t="shared" si="1"/>
        <v>3.5911191163987355</v>
      </c>
      <c r="Q65" s="845">
        <f t="shared" si="1"/>
        <v>3.6962888610407423</v>
      </c>
      <c r="R65" s="845">
        <f t="shared" si="1"/>
        <v>3.6949889658195088</v>
      </c>
      <c r="S65" s="845">
        <f t="shared" si="1"/>
        <v>3.7553110236212266</v>
      </c>
      <c r="T65" s="845">
        <f t="shared" si="1"/>
        <v>0</v>
      </c>
      <c r="U65" s="845">
        <f t="shared" si="1"/>
        <v>0</v>
      </c>
      <c r="V65" s="845">
        <f t="shared" si="1"/>
        <v>0</v>
      </c>
      <c r="W65" s="845">
        <f t="shared" si="1"/>
        <v>0</v>
      </c>
      <c r="X65" s="846">
        <f t="shared" si="1"/>
        <v>0</v>
      </c>
    </row>
    <row r="66" spans="3:24" x14ac:dyDescent="0.35">
      <c r="C66" s="832">
        <v>2.25</v>
      </c>
      <c r="D66" s="844">
        <f t="shared" si="1"/>
        <v>0</v>
      </c>
      <c r="E66" s="845">
        <f t="shared" si="1"/>
        <v>0</v>
      </c>
      <c r="F66" s="845">
        <f t="shared" si="1"/>
        <v>0</v>
      </c>
      <c r="G66" s="845">
        <f t="shared" si="1"/>
        <v>0</v>
      </c>
      <c r="H66" s="845">
        <f t="shared" si="1"/>
        <v>0</v>
      </c>
      <c r="I66" s="845">
        <f t="shared" si="1"/>
        <v>0</v>
      </c>
      <c r="J66" s="845">
        <f t="shared" si="1"/>
        <v>2.6054923944224564</v>
      </c>
      <c r="K66" s="845">
        <f t="shared" si="1"/>
        <v>2.623003713309386</v>
      </c>
      <c r="L66" s="845">
        <f t="shared" si="1"/>
        <v>2.6618608144962881</v>
      </c>
      <c r="M66" s="845">
        <f t="shared" si="1"/>
        <v>2.6983684166942523</v>
      </c>
      <c r="N66" s="845">
        <f t="shared" si="1"/>
        <v>2.7533889786616483</v>
      </c>
      <c r="O66" s="845">
        <f t="shared" si="1"/>
        <v>2.7980105724497859</v>
      </c>
      <c r="P66" s="845">
        <f t="shared" si="1"/>
        <v>2.8383313922624431</v>
      </c>
      <c r="Q66" s="845">
        <f t="shared" si="1"/>
        <v>2.9144377006556792</v>
      </c>
      <c r="R66" s="845">
        <f t="shared" si="1"/>
        <v>2.909759682446091</v>
      </c>
      <c r="S66" s="845">
        <f t="shared" si="1"/>
        <v>2.9530656274430571</v>
      </c>
      <c r="T66" s="845">
        <f t="shared" si="1"/>
        <v>2.9330052699478655</v>
      </c>
      <c r="U66" s="845">
        <f t="shared" si="1"/>
        <v>0</v>
      </c>
      <c r="V66" s="845">
        <f t="shared" si="1"/>
        <v>0</v>
      </c>
      <c r="W66" s="845">
        <f t="shared" si="1"/>
        <v>0</v>
      </c>
      <c r="X66" s="846">
        <f t="shared" si="1"/>
        <v>0</v>
      </c>
    </row>
    <row r="67" spans="3:24" x14ac:dyDescent="0.35">
      <c r="C67" s="832">
        <v>2.75</v>
      </c>
      <c r="D67" s="844">
        <f t="shared" si="1"/>
        <v>0</v>
      </c>
      <c r="E67" s="845">
        <f t="shared" si="1"/>
        <v>0</v>
      </c>
      <c r="F67" s="845">
        <f t="shared" si="1"/>
        <v>0</v>
      </c>
      <c r="G67" s="845">
        <f t="shared" si="1"/>
        <v>0</v>
      </c>
      <c r="H67" s="845">
        <f t="shared" si="1"/>
        <v>0</v>
      </c>
      <c r="I67" s="845">
        <f t="shared" si="1"/>
        <v>0</v>
      </c>
      <c r="J67" s="845">
        <f t="shared" si="1"/>
        <v>2.2289283828432533</v>
      </c>
      <c r="K67" s="845">
        <f t="shared" si="1"/>
        <v>2.217073188406733</v>
      </c>
      <c r="L67" s="845">
        <f t="shared" si="1"/>
        <v>2.2257400441979938</v>
      </c>
      <c r="M67" s="845">
        <f t="shared" si="1"/>
        <v>2.2459285629913768</v>
      </c>
      <c r="N67" s="845">
        <f t="shared" si="1"/>
        <v>2.2870422968185418</v>
      </c>
      <c r="O67" s="845">
        <f t="shared" si="1"/>
        <v>2.322272875533486</v>
      </c>
      <c r="P67" s="845">
        <f t="shared" si="1"/>
        <v>2.3510662439522929</v>
      </c>
      <c r="Q67" s="845">
        <f t="shared" si="1"/>
        <v>2.4095313163987915</v>
      </c>
      <c r="R67" s="845">
        <f t="shared" si="1"/>
        <v>2.4032069194379311</v>
      </c>
      <c r="S67" s="845">
        <f t="shared" si="1"/>
        <v>2.4376686085753243</v>
      </c>
      <c r="T67" s="845">
        <f t="shared" si="1"/>
        <v>2.4196756500514192</v>
      </c>
      <c r="U67" s="845">
        <f t="shared" si="1"/>
        <v>0</v>
      </c>
      <c r="V67" s="845">
        <f t="shared" si="1"/>
        <v>0</v>
      </c>
      <c r="W67" s="845">
        <f t="shared" si="1"/>
        <v>0</v>
      </c>
      <c r="X67" s="846">
        <f t="shared" si="1"/>
        <v>0</v>
      </c>
    </row>
    <row r="68" spans="3:24" x14ac:dyDescent="0.35">
      <c r="C68" s="832">
        <v>3.25</v>
      </c>
      <c r="D68" s="844">
        <f t="shared" si="1"/>
        <v>0</v>
      </c>
      <c r="E68" s="845">
        <f t="shared" si="1"/>
        <v>0</v>
      </c>
      <c r="F68" s="845">
        <f t="shared" si="1"/>
        <v>0</v>
      </c>
      <c r="G68" s="845">
        <f t="shared" si="1"/>
        <v>0</v>
      </c>
      <c r="H68" s="845">
        <f t="shared" si="1"/>
        <v>0</v>
      </c>
      <c r="I68" s="845">
        <f t="shared" si="1"/>
        <v>0</v>
      </c>
      <c r="J68" s="845">
        <f t="shared" si="1"/>
        <v>0</v>
      </c>
      <c r="K68" s="845">
        <f t="shared" si="1"/>
        <v>1.9229216821773534</v>
      </c>
      <c r="L68" s="845">
        <f t="shared" si="1"/>
        <v>1.9153784355380459</v>
      </c>
      <c r="M68" s="845">
        <f t="shared" si="1"/>
        <v>1.9259394619163503</v>
      </c>
      <c r="N68" s="845">
        <f t="shared" si="1"/>
        <v>1.9579670158673803</v>
      </c>
      <c r="O68" s="845">
        <f t="shared" si="1"/>
        <v>1.9869280623669554</v>
      </c>
      <c r="P68" s="845">
        <f t="shared" si="1"/>
        <v>2.0091791780226629</v>
      </c>
      <c r="Q68" s="845">
        <f t="shared" si="1"/>
        <v>2.0558977018088789</v>
      </c>
      <c r="R68" s="845">
        <f t="shared" si="1"/>
        <v>2.0486095609503683</v>
      </c>
      <c r="S68" s="845">
        <f t="shared" si="1"/>
        <v>2.078187126252879</v>
      </c>
      <c r="T68" s="845">
        <f t="shared" si="1"/>
        <v>2.0615831184880533</v>
      </c>
      <c r="U68" s="845">
        <f t="shared" si="1"/>
        <v>2.4199365942906121</v>
      </c>
      <c r="V68" s="845">
        <f t="shared" si="1"/>
        <v>2.7442404129092113</v>
      </c>
      <c r="W68" s="845">
        <f t="shared" si="1"/>
        <v>0</v>
      </c>
      <c r="X68" s="846">
        <f t="shared" si="1"/>
        <v>0</v>
      </c>
    </row>
    <row r="69" spans="3:24" x14ac:dyDescent="0.35">
      <c r="C69" s="832">
        <v>3.75</v>
      </c>
      <c r="D69" s="844">
        <f t="shared" si="1"/>
        <v>0</v>
      </c>
      <c r="E69" s="845">
        <f t="shared" si="1"/>
        <v>0</v>
      </c>
      <c r="F69" s="845">
        <f t="shared" si="1"/>
        <v>0</v>
      </c>
      <c r="G69" s="845">
        <f t="shared" si="1"/>
        <v>0</v>
      </c>
      <c r="H69" s="845">
        <f t="shared" si="1"/>
        <v>0</v>
      </c>
      <c r="I69" s="845">
        <f t="shared" si="1"/>
        <v>0</v>
      </c>
      <c r="J69" s="845">
        <f t="shared" si="1"/>
        <v>0</v>
      </c>
      <c r="K69" s="845">
        <f t="shared" si="1"/>
        <v>1.699666879515594</v>
      </c>
      <c r="L69" s="845">
        <f t="shared" si="1"/>
        <v>1.6828938424473758</v>
      </c>
      <c r="M69" s="845">
        <f t="shared" si="1"/>
        <v>1.6872339745149221</v>
      </c>
      <c r="N69" s="845">
        <f t="shared" si="1"/>
        <v>1.7129432861591936</v>
      </c>
      <c r="O69" s="845">
        <f t="shared" si="1"/>
        <v>1.7374746581662504</v>
      </c>
      <c r="P69" s="845">
        <f t="shared" si="1"/>
        <v>1.755633279499659</v>
      </c>
      <c r="Q69" s="845">
        <f t="shared" si="1"/>
        <v>1.7940915604706109</v>
      </c>
      <c r="R69" s="845">
        <f t="shared" si="1"/>
        <v>1.7862687614220034</v>
      </c>
      <c r="S69" s="845">
        <f t="shared" si="1"/>
        <v>1.8123232304057746</v>
      </c>
      <c r="T69" s="845">
        <f t="shared" si="1"/>
        <v>1.7972818040220828</v>
      </c>
      <c r="U69" s="845">
        <f t="shared" si="1"/>
        <v>0</v>
      </c>
      <c r="V69" s="845">
        <f t="shared" si="1"/>
        <v>0</v>
      </c>
      <c r="W69" s="845">
        <f t="shared" si="1"/>
        <v>0</v>
      </c>
      <c r="X69" s="846">
        <f t="shared" si="1"/>
        <v>0</v>
      </c>
    </row>
    <row r="70" spans="3:24" x14ac:dyDescent="0.35">
      <c r="C70" s="832">
        <v>4.25</v>
      </c>
      <c r="D70" s="844">
        <f t="shared" si="1"/>
        <v>0</v>
      </c>
      <c r="E70" s="845">
        <f t="shared" si="1"/>
        <v>0</v>
      </c>
      <c r="F70" s="845">
        <f t="shared" si="1"/>
        <v>0</v>
      </c>
      <c r="G70" s="845">
        <f t="shared" si="1"/>
        <v>0</v>
      </c>
      <c r="H70" s="845">
        <f t="shared" si="1"/>
        <v>0</v>
      </c>
      <c r="I70" s="845">
        <f t="shared" si="1"/>
        <v>0</v>
      </c>
      <c r="J70" s="845">
        <f t="shared" si="1"/>
        <v>0</v>
      </c>
      <c r="K70" s="845">
        <f t="shared" si="1"/>
        <v>0</v>
      </c>
      <c r="L70" s="845">
        <f t="shared" si="1"/>
        <v>1.6109201722683755</v>
      </c>
      <c r="M70" s="845">
        <f t="shared" si="1"/>
        <v>1.613288337269503</v>
      </c>
      <c r="N70" s="845">
        <f t="shared" si="1"/>
        <v>1.6201881988477784</v>
      </c>
      <c r="O70" s="845">
        <f t="shared" si="1"/>
        <v>1.6006285215894311</v>
      </c>
      <c r="P70" s="845">
        <f t="shared" si="1"/>
        <v>1.5659781262689909</v>
      </c>
      <c r="Q70" s="845">
        <f t="shared" si="1"/>
        <v>1.5922621391487068</v>
      </c>
      <c r="R70" s="845">
        <f t="shared" si="1"/>
        <v>1.5781307334668697</v>
      </c>
      <c r="S70" s="845">
        <f t="shared" si="1"/>
        <v>1.6025636665274658</v>
      </c>
      <c r="T70" s="845">
        <f t="shared" si="1"/>
        <v>1.5940425008785515</v>
      </c>
      <c r="U70" s="845">
        <f t="shared" si="1"/>
        <v>0</v>
      </c>
      <c r="V70" s="845">
        <f t="shared" si="1"/>
        <v>0</v>
      </c>
      <c r="W70" s="845">
        <f t="shared" si="1"/>
        <v>0</v>
      </c>
      <c r="X70" s="846">
        <f t="shared" si="1"/>
        <v>0</v>
      </c>
    </row>
    <row r="71" spans="3:24" x14ac:dyDescent="0.35">
      <c r="C71" s="832">
        <v>4.75</v>
      </c>
      <c r="D71" s="844">
        <f t="shared" si="1"/>
        <v>0</v>
      </c>
      <c r="E71" s="845">
        <f t="shared" si="1"/>
        <v>0</v>
      </c>
      <c r="F71" s="845">
        <f t="shared" si="1"/>
        <v>0</v>
      </c>
      <c r="G71" s="845">
        <f t="shared" si="1"/>
        <v>0</v>
      </c>
      <c r="H71" s="845">
        <f t="shared" si="1"/>
        <v>0</v>
      </c>
      <c r="I71" s="845">
        <f t="shared" si="1"/>
        <v>0</v>
      </c>
      <c r="J71" s="845">
        <f t="shared" si="1"/>
        <v>0</v>
      </c>
      <c r="K71" s="845">
        <f t="shared" si="1"/>
        <v>0</v>
      </c>
      <c r="L71" s="845">
        <f t="shared" si="1"/>
        <v>1.8178999606091475</v>
      </c>
      <c r="M71" s="845">
        <f t="shared" si="1"/>
        <v>1.8168680718078891</v>
      </c>
      <c r="N71" s="845">
        <f t="shared" si="1"/>
        <v>1.822766734143147</v>
      </c>
      <c r="O71" s="845">
        <f t="shared" si="1"/>
        <v>1.8002526003137951</v>
      </c>
      <c r="P71" s="845">
        <f t="shared" si="1"/>
        <v>1.760915789575259</v>
      </c>
      <c r="Q71" s="845">
        <f t="shared" si="1"/>
        <v>1.7221297316066597</v>
      </c>
      <c r="R71" s="845">
        <f t="shared" si="1"/>
        <v>1.6838126815704475</v>
      </c>
      <c r="S71" s="845">
        <f t="shared" si="1"/>
        <v>1.627556815784764</v>
      </c>
      <c r="T71" s="845">
        <f t="shared" si="1"/>
        <v>1.5703580604821601</v>
      </c>
      <c r="U71" s="845">
        <f t="shared" si="1"/>
        <v>0</v>
      </c>
      <c r="V71" s="845">
        <f t="shared" si="1"/>
        <v>0</v>
      </c>
      <c r="W71" s="845">
        <f t="shared" si="1"/>
        <v>0</v>
      </c>
      <c r="X71" s="846">
        <f t="shared" si="1"/>
        <v>0</v>
      </c>
    </row>
    <row r="72" spans="3:24" x14ac:dyDescent="0.35">
      <c r="C72" s="832">
        <v>5.25</v>
      </c>
      <c r="D72" s="844">
        <f t="shared" si="1"/>
        <v>0</v>
      </c>
      <c r="E72" s="845">
        <f t="shared" si="1"/>
        <v>0</v>
      </c>
      <c r="F72" s="845">
        <f t="shared" si="1"/>
        <v>0</v>
      </c>
      <c r="G72" s="845">
        <f t="shared" si="1"/>
        <v>0</v>
      </c>
      <c r="H72" s="845">
        <f t="shared" si="1"/>
        <v>0</v>
      </c>
      <c r="I72" s="845">
        <f t="shared" si="1"/>
        <v>0</v>
      </c>
      <c r="J72" s="845">
        <f t="shared" si="1"/>
        <v>0</v>
      </c>
      <c r="K72" s="845">
        <f t="shared" si="1"/>
        <v>0</v>
      </c>
      <c r="L72" s="845">
        <f t="shared" si="1"/>
        <v>0</v>
      </c>
      <c r="M72" s="845">
        <f t="shared" si="1"/>
        <v>2.0214011054473251</v>
      </c>
      <c r="N72" s="845">
        <f t="shared" si="1"/>
        <v>2.0260847986735868</v>
      </c>
      <c r="O72" s="845">
        <f t="shared" si="1"/>
        <v>2.0005783878526575</v>
      </c>
      <c r="P72" s="845">
        <f t="shared" si="1"/>
        <v>1.9567905371476033</v>
      </c>
      <c r="Q72" s="845">
        <f t="shared" si="1"/>
        <v>1.9120298611617352</v>
      </c>
      <c r="R72" s="845">
        <f t="shared" si="1"/>
        <v>1.8680653040954553</v>
      </c>
      <c r="S72" s="845">
        <f t="shared" si="1"/>
        <v>1.8057871432763828</v>
      </c>
      <c r="T72" s="845">
        <f t="shared" si="1"/>
        <v>0</v>
      </c>
      <c r="U72" s="845">
        <f t="shared" si="1"/>
        <v>0</v>
      </c>
      <c r="V72" s="845">
        <f t="shared" si="1"/>
        <v>0</v>
      </c>
      <c r="W72" s="845">
        <f t="shared" si="1"/>
        <v>0</v>
      </c>
      <c r="X72" s="846">
        <f t="shared" si="1"/>
        <v>0</v>
      </c>
    </row>
    <row r="73" spans="3:24" x14ac:dyDescent="0.35">
      <c r="C73" s="832">
        <v>5.75</v>
      </c>
      <c r="D73" s="844">
        <f t="shared" si="1"/>
        <v>0</v>
      </c>
      <c r="E73" s="845">
        <f t="shared" si="1"/>
        <v>0</v>
      </c>
      <c r="F73" s="845">
        <f t="shared" si="1"/>
        <v>0</v>
      </c>
      <c r="G73" s="845">
        <f t="shared" si="1"/>
        <v>0</v>
      </c>
      <c r="H73" s="845">
        <f t="shared" si="1"/>
        <v>0</v>
      </c>
      <c r="I73" s="845">
        <f t="shared" si="1"/>
        <v>0</v>
      </c>
      <c r="J73" s="845">
        <f t="shared" si="1"/>
        <v>0</v>
      </c>
      <c r="K73" s="845">
        <f t="shared" si="1"/>
        <v>0</v>
      </c>
      <c r="L73" s="845">
        <f t="shared" si="1"/>
        <v>0</v>
      </c>
      <c r="M73" s="845">
        <f t="shared" si="1"/>
        <v>0</v>
      </c>
      <c r="N73" s="845">
        <f t="shared" si="1"/>
        <v>0</v>
      </c>
      <c r="O73" s="845">
        <f t="shared" si="1"/>
        <v>2.2014956842509728</v>
      </c>
      <c r="P73" s="845">
        <f t="shared" si="1"/>
        <v>2.1533466880403052</v>
      </c>
      <c r="Q73" s="845">
        <f t="shared" si="1"/>
        <v>2.1023996772782287</v>
      </c>
      <c r="R73" s="845">
        <f t="shared" si="1"/>
        <v>2.0527443742816356</v>
      </c>
      <c r="S73" s="845">
        <f t="shared" si="1"/>
        <v>1.9844021819647648</v>
      </c>
      <c r="T73" s="845">
        <f t="shared" si="1"/>
        <v>0</v>
      </c>
      <c r="U73" s="845">
        <f t="shared" si="1"/>
        <v>0</v>
      </c>
      <c r="V73" s="845">
        <f t="shared" si="1"/>
        <v>0</v>
      </c>
      <c r="W73" s="845">
        <f t="shared" si="1"/>
        <v>0</v>
      </c>
      <c r="X73" s="846">
        <f t="shared" si="1"/>
        <v>0</v>
      </c>
    </row>
    <row r="74" spans="3:24" x14ac:dyDescent="0.35">
      <c r="C74" s="832">
        <v>6.25</v>
      </c>
      <c r="D74" s="844">
        <f t="shared" si="1"/>
        <v>0</v>
      </c>
      <c r="E74" s="845">
        <f t="shared" si="1"/>
        <v>0</v>
      </c>
      <c r="F74" s="845">
        <f t="shared" si="1"/>
        <v>0</v>
      </c>
      <c r="G74" s="845">
        <f t="shared" si="1"/>
        <v>0</v>
      </c>
      <c r="H74" s="845">
        <f t="shared" si="1"/>
        <v>0</v>
      </c>
      <c r="I74" s="845">
        <f t="shared" si="1"/>
        <v>0</v>
      </c>
      <c r="J74" s="845">
        <f t="shared" si="1"/>
        <v>0</v>
      </c>
      <c r="K74" s="845">
        <f t="shared" si="1"/>
        <v>0</v>
      </c>
      <c r="L74" s="845">
        <f t="shared" si="1"/>
        <v>0</v>
      </c>
      <c r="M74" s="845">
        <f t="shared" si="1"/>
        <v>0</v>
      </c>
      <c r="N74" s="845">
        <f t="shared" si="1"/>
        <v>0</v>
      </c>
      <c r="O74" s="845">
        <f t="shared" si="1"/>
        <v>0</v>
      </c>
      <c r="P74" s="845">
        <f t="shared" si="1"/>
        <v>2.3503832871817334</v>
      </c>
      <c r="Q74" s="845">
        <f t="shared" si="1"/>
        <v>2.2932430539673487</v>
      </c>
      <c r="R74" s="845">
        <f t="shared" si="1"/>
        <v>2.2378390596579045</v>
      </c>
      <c r="S74" s="845">
        <f t="shared" si="1"/>
        <v>2.1633596758292351</v>
      </c>
      <c r="T74" s="845">
        <f t="shared" si="1"/>
        <v>0</v>
      </c>
      <c r="U74" s="845">
        <f t="shared" si="1"/>
        <v>0</v>
      </c>
      <c r="V74" s="845">
        <f t="shared" si="1"/>
        <v>0</v>
      </c>
      <c r="W74" s="845">
        <f t="shared" si="1"/>
        <v>0</v>
      </c>
      <c r="X74" s="846">
        <f t="shared" si="1"/>
        <v>0</v>
      </c>
    </row>
    <row r="75" spans="3:24" x14ac:dyDescent="0.35">
      <c r="C75" s="832">
        <v>6.75</v>
      </c>
      <c r="D75" s="844">
        <f t="shared" si="1"/>
        <v>0</v>
      </c>
      <c r="E75" s="845">
        <f t="shared" si="1"/>
        <v>0</v>
      </c>
      <c r="F75" s="845">
        <f t="shared" si="1"/>
        <v>0</v>
      </c>
      <c r="G75" s="845">
        <f t="shared" ref="G75:X75" si="2">IF(G19=0,0,G47/G19)</f>
        <v>0</v>
      </c>
      <c r="H75" s="845">
        <f t="shared" si="2"/>
        <v>0</v>
      </c>
      <c r="I75" s="845">
        <f t="shared" si="2"/>
        <v>0</v>
      </c>
      <c r="J75" s="845">
        <f t="shared" si="2"/>
        <v>0</v>
      </c>
      <c r="K75" s="845">
        <f t="shared" si="2"/>
        <v>0</v>
      </c>
      <c r="L75" s="845">
        <f t="shared" si="2"/>
        <v>0</v>
      </c>
      <c r="M75" s="845">
        <f t="shared" si="2"/>
        <v>0</v>
      </c>
      <c r="N75" s="845">
        <f t="shared" si="2"/>
        <v>0</v>
      </c>
      <c r="O75" s="845">
        <f t="shared" si="2"/>
        <v>0</v>
      </c>
      <c r="P75" s="845">
        <f t="shared" si="2"/>
        <v>0</v>
      </c>
      <c r="Q75" s="845">
        <f t="shared" si="2"/>
        <v>2.459534055058306</v>
      </c>
      <c r="R75" s="845">
        <f t="shared" si="2"/>
        <v>2.4232595380289168</v>
      </c>
      <c r="S75" s="845">
        <f t="shared" si="2"/>
        <v>0</v>
      </c>
      <c r="T75" s="845">
        <f t="shared" si="2"/>
        <v>0</v>
      </c>
      <c r="U75" s="845">
        <f t="shared" si="2"/>
        <v>0</v>
      </c>
      <c r="V75" s="845">
        <f t="shared" si="2"/>
        <v>0</v>
      </c>
      <c r="W75" s="845">
        <f t="shared" si="2"/>
        <v>0</v>
      </c>
      <c r="X75" s="846">
        <f t="shared" si="2"/>
        <v>0</v>
      </c>
    </row>
    <row r="76" spans="3:24" x14ac:dyDescent="0.35">
      <c r="C76" s="832">
        <v>7.25</v>
      </c>
      <c r="D76" s="844">
        <f t="shared" ref="D76:X81" si="3">IF(D20=0,0,D48/D20)</f>
        <v>0</v>
      </c>
      <c r="E76" s="845">
        <f t="shared" si="3"/>
        <v>0</v>
      </c>
      <c r="F76" s="845">
        <f t="shared" si="3"/>
        <v>0</v>
      </c>
      <c r="G76" s="845">
        <f t="shared" si="3"/>
        <v>0</v>
      </c>
      <c r="H76" s="845">
        <f t="shared" si="3"/>
        <v>0</v>
      </c>
      <c r="I76" s="845">
        <f t="shared" si="3"/>
        <v>0</v>
      </c>
      <c r="J76" s="845">
        <f t="shared" si="3"/>
        <v>0</v>
      </c>
      <c r="K76" s="845">
        <f t="shared" si="3"/>
        <v>0</v>
      </c>
      <c r="L76" s="845">
        <f t="shared" si="3"/>
        <v>0</v>
      </c>
      <c r="M76" s="845">
        <f t="shared" si="3"/>
        <v>0</v>
      </c>
      <c r="N76" s="845">
        <f t="shared" si="3"/>
        <v>0</v>
      </c>
      <c r="O76" s="845">
        <f t="shared" si="3"/>
        <v>0</v>
      </c>
      <c r="P76" s="845">
        <f t="shared" si="3"/>
        <v>0</v>
      </c>
      <c r="Q76" s="845">
        <f t="shared" si="3"/>
        <v>0</v>
      </c>
      <c r="R76" s="845">
        <f t="shared" si="3"/>
        <v>0</v>
      </c>
      <c r="S76" s="845">
        <f t="shared" si="3"/>
        <v>0</v>
      </c>
      <c r="T76" s="845">
        <f t="shared" si="3"/>
        <v>0</v>
      </c>
      <c r="U76" s="845">
        <f t="shared" si="3"/>
        <v>0</v>
      </c>
      <c r="V76" s="845">
        <f t="shared" si="3"/>
        <v>0</v>
      </c>
      <c r="W76" s="845">
        <f t="shared" si="3"/>
        <v>0</v>
      </c>
      <c r="X76" s="846">
        <f t="shared" si="3"/>
        <v>0</v>
      </c>
    </row>
    <row r="77" spans="3:24" x14ac:dyDescent="0.35">
      <c r="C77" s="832">
        <v>7.75</v>
      </c>
      <c r="D77" s="844">
        <f t="shared" si="3"/>
        <v>0</v>
      </c>
      <c r="E77" s="845">
        <f t="shared" si="3"/>
        <v>0</v>
      </c>
      <c r="F77" s="845">
        <f t="shared" si="3"/>
        <v>0</v>
      </c>
      <c r="G77" s="845">
        <f t="shared" si="3"/>
        <v>0</v>
      </c>
      <c r="H77" s="845">
        <f t="shared" si="3"/>
        <v>0</v>
      </c>
      <c r="I77" s="845">
        <f t="shared" si="3"/>
        <v>0</v>
      </c>
      <c r="J77" s="845">
        <f t="shared" si="3"/>
        <v>0</v>
      </c>
      <c r="K77" s="845">
        <f t="shared" si="3"/>
        <v>0</v>
      </c>
      <c r="L77" s="845">
        <f t="shared" si="3"/>
        <v>0</v>
      </c>
      <c r="M77" s="845">
        <f t="shared" si="3"/>
        <v>0</v>
      </c>
      <c r="N77" s="845">
        <f t="shared" si="3"/>
        <v>0</v>
      </c>
      <c r="O77" s="845">
        <f t="shared" si="3"/>
        <v>0</v>
      </c>
      <c r="P77" s="845">
        <f t="shared" si="3"/>
        <v>0</v>
      </c>
      <c r="Q77" s="845">
        <f t="shared" si="3"/>
        <v>0</v>
      </c>
      <c r="R77" s="845">
        <f t="shared" si="3"/>
        <v>0</v>
      </c>
      <c r="S77" s="845">
        <f t="shared" si="3"/>
        <v>0</v>
      </c>
      <c r="T77" s="845">
        <f t="shared" si="3"/>
        <v>0</v>
      </c>
      <c r="U77" s="845">
        <f t="shared" si="3"/>
        <v>0</v>
      </c>
      <c r="V77" s="845">
        <f t="shared" si="3"/>
        <v>0</v>
      </c>
      <c r="W77" s="845">
        <f t="shared" si="3"/>
        <v>0</v>
      </c>
      <c r="X77" s="846">
        <f t="shared" si="3"/>
        <v>0</v>
      </c>
    </row>
    <row r="78" spans="3:24" x14ac:dyDescent="0.35">
      <c r="C78" s="832">
        <v>8.25</v>
      </c>
      <c r="D78" s="844">
        <f t="shared" si="3"/>
        <v>0</v>
      </c>
      <c r="E78" s="845">
        <f t="shared" si="3"/>
        <v>0</v>
      </c>
      <c r="F78" s="845">
        <f t="shared" si="3"/>
        <v>0</v>
      </c>
      <c r="G78" s="845">
        <f t="shared" si="3"/>
        <v>0</v>
      </c>
      <c r="H78" s="845">
        <f t="shared" si="3"/>
        <v>0</v>
      </c>
      <c r="I78" s="845">
        <f t="shared" si="3"/>
        <v>0</v>
      </c>
      <c r="J78" s="845">
        <f t="shared" si="3"/>
        <v>0</v>
      </c>
      <c r="K78" s="845">
        <f t="shared" si="3"/>
        <v>0</v>
      </c>
      <c r="L78" s="845">
        <f t="shared" si="3"/>
        <v>0</v>
      </c>
      <c r="M78" s="845">
        <f t="shared" si="3"/>
        <v>0</v>
      </c>
      <c r="N78" s="845">
        <f t="shared" si="3"/>
        <v>0</v>
      </c>
      <c r="O78" s="845">
        <f t="shared" si="3"/>
        <v>0</v>
      </c>
      <c r="P78" s="845">
        <f t="shared" si="3"/>
        <v>0</v>
      </c>
      <c r="Q78" s="845">
        <f t="shared" si="3"/>
        <v>0</v>
      </c>
      <c r="R78" s="845">
        <f t="shared" si="3"/>
        <v>0</v>
      </c>
      <c r="S78" s="845">
        <f t="shared" si="3"/>
        <v>0</v>
      </c>
      <c r="T78" s="845">
        <f t="shared" si="3"/>
        <v>0</v>
      </c>
      <c r="U78" s="845">
        <f t="shared" si="3"/>
        <v>0</v>
      </c>
      <c r="V78" s="845">
        <f t="shared" si="3"/>
        <v>0</v>
      </c>
      <c r="W78" s="845">
        <f t="shared" si="3"/>
        <v>0</v>
      </c>
      <c r="X78" s="846">
        <f t="shared" si="3"/>
        <v>0</v>
      </c>
    </row>
    <row r="79" spans="3:24" x14ac:dyDescent="0.35">
      <c r="C79" s="832">
        <v>8.75</v>
      </c>
      <c r="D79" s="844">
        <f t="shared" si="3"/>
        <v>0</v>
      </c>
      <c r="E79" s="845">
        <f t="shared" si="3"/>
        <v>0</v>
      </c>
      <c r="F79" s="845">
        <f t="shared" si="3"/>
        <v>0</v>
      </c>
      <c r="G79" s="845">
        <f t="shared" si="3"/>
        <v>0</v>
      </c>
      <c r="H79" s="845">
        <f t="shared" si="3"/>
        <v>0</v>
      </c>
      <c r="I79" s="845">
        <f t="shared" si="3"/>
        <v>0</v>
      </c>
      <c r="J79" s="845">
        <f t="shared" si="3"/>
        <v>0</v>
      </c>
      <c r="K79" s="845">
        <f t="shared" si="3"/>
        <v>0</v>
      </c>
      <c r="L79" s="845">
        <f t="shared" si="3"/>
        <v>0</v>
      </c>
      <c r="M79" s="845">
        <f t="shared" si="3"/>
        <v>0</v>
      </c>
      <c r="N79" s="845">
        <f t="shared" si="3"/>
        <v>0</v>
      </c>
      <c r="O79" s="845">
        <f t="shared" si="3"/>
        <v>0</v>
      </c>
      <c r="P79" s="845">
        <f t="shared" si="3"/>
        <v>0</v>
      </c>
      <c r="Q79" s="845">
        <f t="shared" si="3"/>
        <v>0</v>
      </c>
      <c r="R79" s="845">
        <f t="shared" si="3"/>
        <v>0</v>
      </c>
      <c r="S79" s="845">
        <f t="shared" si="3"/>
        <v>0</v>
      </c>
      <c r="T79" s="845">
        <f t="shared" si="3"/>
        <v>0</v>
      </c>
      <c r="U79" s="845">
        <f t="shared" si="3"/>
        <v>0</v>
      </c>
      <c r="V79" s="845">
        <f t="shared" si="3"/>
        <v>0</v>
      </c>
      <c r="W79" s="845">
        <f t="shared" si="3"/>
        <v>0</v>
      </c>
      <c r="X79" s="846">
        <f t="shared" si="3"/>
        <v>0</v>
      </c>
    </row>
    <row r="80" spans="3:24" x14ac:dyDescent="0.35">
      <c r="C80" s="832">
        <v>9.25</v>
      </c>
      <c r="D80" s="844">
        <f t="shared" si="3"/>
        <v>0</v>
      </c>
      <c r="E80" s="845">
        <f t="shared" si="3"/>
        <v>0</v>
      </c>
      <c r="F80" s="845">
        <f t="shared" si="3"/>
        <v>0</v>
      </c>
      <c r="G80" s="845">
        <f t="shared" si="3"/>
        <v>0</v>
      </c>
      <c r="H80" s="845">
        <f t="shared" si="3"/>
        <v>0</v>
      </c>
      <c r="I80" s="845">
        <f t="shared" si="3"/>
        <v>0</v>
      </c>
      <c r="J80" s="845">
        <f t="shared" si="3"/>
        <v>0</v>
      </c>
      <c r="K80" s="845">
        <f t="shared" si="3"/>
        <v>0</v>
      </c>
      <c r="L80" s="845">
        <f t="shared" si="3"/>
        <v>0</v>
      </c>
      <c r="M80" s="845">
        <f t="shared" si="3"/>
        <v>0</v>
      </c>
      <c r="N80" s="845">
        <f t="shared" si="3"/>
        <v>0</v>
      </c>
      <c r="O80" s="845">
        <f t="shared" si="3"/>
        <v>0</v>
      </c>
      <c r="P80" s="845">
        <f t="shared" si="3"/>
        <v>0</v>
      </c>
      <c r="Q80" s="845">
        <f t="shared" si="3"/>
        <v>0</v>
      </c>
      <c r="R80" s="845">
        <f t="shared" si="3"/>
        <v>0</v>
      </c>
      <c r="S80" s="845">
        <f t="shared" si="3"/>
        <v>0</v>
      </c>
      <c r="T80" s="845">
        <f t="shared" si="3"/>
        <v>0</v>
      </c>
      <c r="U80" s="845">
        <f t="shared" si="3"/>
        <v>0</v>
      </c>
      <c r="V80" s="845">
        <f t="shared" si="3"/>
        <v>0</v>
      </c>
      <c r="W80" s="845">
        <f t="shared" si="3"/>
        <v>0</v>
      </c>
      <c r="X80" s="846">
        <f t="shared" si="3"/>
        <v>0</v>
      </c>
    </row>
    <row r="81" spans="3:25" ht="15" thickBot="1" x14ac:dyDescent="0.4">
      <c r="C81" s="832">
        <v>9.75</v>
      </c>
      <c r="D81" s="847">
        <f t="shared" si="3"/>
        <v>0</v>
      </c>
      <c r="E81" s="848">
        <f t="shared" si="3"/>
        <v>0</v>
      </c>
      <c r="F81" s="848">
        <f t="shared" si="3"/>
        <v>0</v>
      </c>
      <c r="G81" s="848">
        <f t="shared" si="3"/>
        <v>0</v>
      </c>
      <c r="H81" s="848">
        <f t="shared" si="3"/>
        <v>0</v>
      </c>
      <c r="I81" s="848">
        <f t="shared" si="3"/>
        <v>0</v>
      </c>
      <c r="J81" s="848">
        <f t="shared" si="3"/>
        <v>0</v>
      </c>
      <c r="K81" s="848">
        <f t="shared" si="3"/>
        <v>0</v>
      </c>
      <c r="L81" s="848">
        <f t="shared" si="3"/>
        <v>0</v>
      </c>
      <c r="M81" s="848">
        <f t="shared" si="3"/>
        <v>0</v>
      </c>
      <c r="N81" s="848">
        <f t="shared" si="3"/>
        <v>0</v>
      </c>
      <c r="O81" s="848">
        <f t="shared" si="3"/>
        <v>0</v>
      </c>
      <c r="P81" s="848">
        <f t="shared" si="3"/>
        <v>0</v>
      </c>
      <c r="Q81" s="848">
        <f t="shared" si="3"/>
        <v>0</v>
      </c>
      <c r="R81" s="848">
        <f t="shared" si="3"/>
        <v>0</v>
      </c>
      <c r="S81" s="848">
        <f t="shared" si="3"/>
        <v>0</v>
      </c>
      <c r="T81" s="848">
        <f t="shared" si="3"/>
        <v>0</v>
      </c>
      <c r="U81" s="848">
        <f t="shared" si="3"/>
        <v>0</v>
      </c>
      <c r="V81" s="848">
        <f t="shared" si="3"/>
        <v>0</v>
      </c>
      <c r="W81" s="848">
        <f t="shared" si="3"/>
        <v>0</v>
      </c>
      <c r="X81" s="849">
        <f t="shared" si="3"/>
        <v>0</v>
      </c>
    </row>
    <row r="82" spans="3:25" ht="15" thickBot="1" x14ac:dyDescent="0.4">
      <c r="C82" s="839"/>
      <c r="D82" s="840">
        <v>0.57999999999999996</v>
      </c>
      <c r="E82" s="826">
        <v>1.7399999999999998</v>
      </c>
      <c r="F82" s="826">
        <v>2.9</v>
      </c>
      <c r="G82" s="826">
        <v>4.0599999999999996</v>
      </c>
      <c r="H82" s="826">
        <v>5.22</v>
      </c>
      <c r="I82" s="826">
        <v>6.38</v>
      </c>
      <c r="J82" s="826">
        <v>7.5399999999999991</v>
      </c>
      <c r="K82" s="826">
        <v>8.6999999999999993</v>
      </c>
      <c r="L82" s="826">
        <v>9.86</v>
      </c>
      <c r="M82" s="826">
        <v>11.02</v>
      </c>
      <c r="N82" s="826">
        <v>12.18</v>
      </c>
      <c r="O82" s="826">
        <v>13.34</v>
      </c>
      <c r="P82" s="826">
        <v>14.499999999999998</v>
      </c>
      <c r="Q82" s="826">
        <v>15.659999999999998</v>
      </c>
      <c r="R82" s="826">
        <v>16.82</v>
      </c>
      <c r="S82" s="826">
        <v>17.98</v>
      </c>
      <c r="T82" s="826">
        <v>19.139999999999997</v>
      </c>
      <c r="U82" s="826">
        <v>20.299999999999997</v>
      </c>
      <c r="V82" s="826">
        <v>21.459999999999997</v>
      </c>
      <c r="W82" s="826">
        <v>22.619999999999997</v>
      </c>
      <c r="X82" s="827">
        <v>23.779999999999998</v>
      </c>
    </row>
    <row r="83" spans="3:25" x14ac:dyDescent="0.35">
      <c r="M83" s="725" t="s">
        <v>1375</v>
      </c>
    </row>
    <row r="86" spans="3:25" x14ac:dyDescent="0.35">
      <c r="C86" s="725" t="s">
        <v>1384</v>
      </c>
    </row>
    <row r="87" spans="3:25" ht="15" thickBot="1" x14ac:dyDescent="0.4"/>
    <row r="88" spans="3:25" ht="15" thickBot="1" x14ac:dyDescent="0.4">
      <c r="D88" s="824"/>
      <c r="E88" s="840">
        <v>0.57999999999999996</v>
      </c>
      <c r="F88" s="826">
        <v>1.7399999999999998</v>
      </c>
      <c r="G88" s="826">
        <v>2.9</v>
      </c>
      <c r="H88" s="826">
        <v>4.0599999999999996</v>
      </c>
      <c r="I88" s="826">
        <v>5.22</v>
      </c>
      <c r="J88" s="826">
        <v>6.38</v>
      </c>
      <c r="K88" s="826">
        <v>7.5399999999999991</v>
      </c>
      <c r="L88" s="826">
        <v>8.6999999999999993</v>
      </c>
      <c r="M88" s="826">
        <v>9.86</v>
      </c>
      <c r="N88" s="826">
        <v>11.02</v>
      </c>
      <c r="O88" s="826">
        <v>12.18</v>
      </c>
      <c r="P88" s="826">
        <v>13.34</v>
      </c>
      <c r="Q88" s="826">
        <v>14.499999999999998</v>
      </c>
      <c r="R88" s="826">
        <v>15.659999999999998</v>
      </c>
      <c r="S88" s="826">
        <v>16.82</v>
      </c>
      <c r="T88" s="826">
        <v>17.98</v>
      </c>
      <c r="U88" s="826">
        <v>19.139999999999997</v>
      </c>
      <c r="V88" s="826">
        <v>20.299999999999997</v>
      </c>
      <c r="W88" s="826">
        <v>21.459999999999997</v>
      </c>
      <c r="X88" s="826">
        <v>22.619999999999997</v>
      </c>
      <c r="Y88" s="827">
        <v>23.779999999999998</v>
      </c>
    </row>
    <row r="89" spans="3:25" x14ac:dyDescent="0.35">
      <c r="D89" s="850" t="s">
        <v>1361</v>
      </c>
      <c r="E89" s="829">
        <v>0</v>
      </c>
      <c r="F89" s="830">
        <v>0</v>
      </c>
      <c r="G89" s="830">
        <v>0</v>
      </c>
      <c r="H89" s="830">
        <v>0</v>
      </c>
      <c r="I89" s="830">
        <v>9.8675396122092902</v>
      </c>
      <c r="J89" s="830">
        <v>12.7179841463591</v>
      </c>
      <c r="K89" s="830">
        <v>14.457809040747</v>
      </c>
      <c r="L89" s="830">
        <v>16.231060325603799</v>
      </c>
      <c r="M89" s="830">
        <v>16.944337459509299</v>
      </c>
      <c r="N89" s="830">
        <v>16.966423875664301</v>
      </c>
      <c r="O89" s="830">
        <v>16.803005555074598</v>
      </c>
      <c r="P89" s="830">
        <v>16.371293882477499</v>
      </c>
      <c r="Q89" s="830">
        <v>15.858255924594401</v>
      </c>
      <c r="R89" s="830">
        <v>15.2100740557508</v>
      </c>
      <c r="S89" s="830">
        <v>14.9585621676489</v>
      </c>
      <c r="T89" s="830">
        <v>14.248750753560101</v>
      </c>
      <c r="U89" s="830">
        <v>0</v>
      </c>
      <c r="V89" s="830">
        <v>0</v>
      </c>
      <c r="W89" s="830">
        <v>0</v>
      </c>
      <c r="X89" s="830">
        <v>0</v>
      </c>
      <c r="Y89" s="831">
        <v>0</v>
      </c>
    </row>
    <row r="90" spans="3:25" ht="15" thickBot="1" x14ac:dyDescent="0.4">
      <c r="D90" s="851" t="s">
        <v>1366</v>
      </c>
      <c r="E90" s="836">
        <v>0</v>
      </c>
      <c r="F90" s="837">
        <v>0</v>
      </c>
      <c r="G90" s="837">
        <v>0</v>
      </c>
      <c r="H90" s="837">
        <v>0</v>
      </c>
      <c r="I90" s="837">
        <v>15.752095674966601</v>
      </c>
      <c r="J90" s="837">
        <v>37.289260041215698</v>
      </c>
      <c r="K90" s="837">
        <v>56.440453929142599</v>
      </c>
      <c r="L90" s="837">
        <v>68.683936877346198</v>
      </c>
      <c r="M90" s="837">
        <v>75.292878384978707</v>
      </c>
      <c r="N90" s="837">
        <v>77.768388020280895</v>
      </c>
      <c r="O90" s="837">
        <v>79.112736567912805</v>
      </c>
      <c r="P90" s="837">
        <v>78.668780499058997</v>
      </c>
      <c r="Q90" s="837">
        <v>77.913843462384506</v>
      </c>
      <c r="R90" s="837">
        <v>77.181208147020598</v>
      </c>
      <c r="S90" s="837">
        <v>76.157557956511496</v>
      </c>
      <c r="T90" s="837">
        <v>73.878807734794194</v>
      </c>
      <c r="U90" s="837">
        <v>0</v>
      </c>
      <c r="V90" s="837">
        <v>0</v>
      </c>
      <c r="W90" s="837">
        <v>0</v>
      </c>
      <c r="X90" s="837">
        <v>0</v>
      </c>
      <c r="Y90" s="838">
        <v>0</v>
      </c>
    </row>
    <row r="93" spans="3:25" x14ac:dyDescent="0.35">
      <c r="C93" s="725" t="s">
        <v>1385</v>
      </c>
    </row>
    <row r="94" spans="3:25" ht="15" thickBot="1" x14ac:dyDescent="0.4"/>
    <row r="95" spans="3:25" ht="15" thickBot="1" x14ac:dyDescent="0.4">
      <c r="D95" s="824"/>
      <c r="E95" s="840">
        <v>0.57999999999999996</v>
      </c>
      <c r="F95" s="826">
        <v>1.7399999999999998</v>
      </c>
      <c r="G95" s="826">
        <v>2.9</v>
      </c>
      <c r="H95" s="826">
        <v>4.0599999999999996</v>
      </c>
      <c r="I95" s="826">
        <v>5.22</v>
      </c>
      <c r="J95" s="826">
        <v>6.38</v>
      </c>
      <c r="K95" s="826">
        <v>7.5399999999999991</v>
      </c>
      <c r="L95" s="826">
        <v>8.6999999999999993</v>
      </c>
      <c r="M95" s="826">
        <v>9.86</v>
      </c>
      <c r="N95" s="826">
        <v>11.02</v>
      </c>
      <c r="O95" s="826">
        <v>12.18</v>
      </c>
      <c r="P95" s="826">
        <v>13.34</v>
      </c>
      <c r="Q95" s="826">
        <v>14.499999999999998</v>
      </c>
      <c r="R95" s="826">
        <v>15.659999999999998</v>
      </c>
      <c r="S95" s="826">
        <v>16.82</v>
      </c>
      <c r="T95" s="826">
        <v>17.98</v>
      </c>
      <c r="U95" s="826">
        <v>19.139999999999997</v>
      </c>
      <c r="V95" s="826">
        <v>20.299999999999997</v>
      </c>
      <c r="W95" s="826">
        <v>21.459999999999997</v>
      </c>
      <c r="X95" s="826">
        <v>22.619999999999997</v>
      </c>
      <c r="Y95" s="827">
        <v>23.779999999999998</v>
      </c>
    </row>
    <row r="96" spans="3:25" x14ac:dyDescent="0.35">
      <c r="D96" s="850" t="s">
        <v>1361</v>
      </c>
      <c r="E96" s="829">
        <v>0</v>
      </c>
      <c r="F96" s="830">
        <v>0</v>
      </c>
      <c r="G96" s="830">
        <v>0</v>
      </c>
      <c r="H96" s="830">
        <v>0</v>
      </c>
      <c r="I96" s="830">
        <v>0</v>
      </c>
      <c r="J96" s="830">
        <v>0</v>
      </c>
      <c r="K96" s="830">
        <v>46.843301292020101</v>
      </c>
      <c r="L96" s="830">
        <v>52.588635454956297</v>
      </c>
      <c r="M96" s="830">
        <v>54.899653368810199</v>
      </c>
      <c r="N96" s="830">
        <v>54.971213357152301</v>
      </c>
      <c r="O96" s="830">
        <v>54.441737998441901</v>
      </c>
      <c r="P96" s="830">
        <v>53.042992179227198</v>
      </c>
      <c r="Q96" s="830">
        <v>51.380749195685702</v>
      </c>
      <c r="R96" s="830">
        <v>49.280639940632703</v>
      </c>
      <c r="S96" s="830">
        <v>48.465741423182202</v>
      </c>
      <c r="T96" s="830">
        <v>46.165952441534699</v>
      </c>
      <c r="U96" s="830">
        <v>44.909245227355598</v>
      </c>
      <c r="V96" s="830">
        <v>0</v>
      </c>
      <c r="W96" s="830">
        <v>0</v>
      </c>
      <c r="X96" s="830">
        <v>0</v>
      </c>
      <c r="Y96" s="831">
        <v>0</v>
      </c>
    </row>
    <row r="97" spans="3:25" ht="15" thickBot="1" x14ac:dyDescent="0.4">
      <c r="D97" s="851" t="s">
        <v>1366</v>
      </c>
      <c r="E97" s="836">
        <v>0</v>
      </c>
      <c r="F97" s="837">
        <v>0</v>
      </c>
      <c r="G97" s="837">
        <v>0</v>
      </c>
      <c r="H97" s="837">
        <v>0</v>
      </c>
      <c r="I97" s="837">
        <v>0</v>
      </c>
      <c r="J97" s="837">
        <v>0</v>
      </c>
      <c r="K97" s="837">
        <v>122.04986524599801</v>
      </c>
      <c r="L97" s="837">
        <v>137.94018607622399</v>
      </c>
      <c r="M97" s="837">
        <v>146.13523603186499</v>
      </c>
      <c r="N97" s="837">
        <v>148.332585950301</v>
      </c>
      <c r="O97" s="837">
        <v>149.89928138409499</v>
      </c>
      <c r="P97" s="837">
        <v>148.41485291184901</v>
      </c>
      <c r="Q97" s="837">
        <v>145.83559340007801</v>
      </c>
      <c r="R97" s="837">
        <v>143.625354955418</v>
      </c>
      <c r="S97" s="837">
        <v>141.02366037303301</v>
      </c>
      <c r="T97" s="837">
        <v>136.33108731326701</v>
      </c>
      <c r="U97" s="837">
        <v>131.719052921215</v>
      </c>
      <c r="V97" s="837">
        <v>0</v>
      </c>
      <c r="W97" s="837">
        <v>0</v>
      </c>
      <c r="X97" s="837">
        <v>0</v>
      </c>
      <c r="Y97" s="838">
        <v>0</v>
      </c>
    </row>
    <row r="100" spans="3:25" x14ac:dyDescent="0.35">
      <c r="C100" s="725" t="s">
        <v>1386</v>
      </c>
    </row>
    <row r="101" spans="3:25" ht="15" thickBot="1" x14ac:dyDescent="0.4"/>
    <row r="102" spans="3:25" ht="15" thickBot="1" x14ac:dyDescent="0.4">
      <c r="D102" s="824"/>
      <c r="E102" s="840">
        <v>0.57999999999999996</v>
      </c>
      <c r="F102" s="826">
        <v>1.7399999999999998</v>
      </c>
      <c r="G102" s="826">
        <v>2.9</v>
      </c>
      <c r="H102" s="826">
        <v>4.0599999999999996</v>
      </c>
      <c r="I102" s="826">
        <v>5.22</v>
      </c>
      <c r="J102" s="826">
        <v>6.38</v>
      </c>
      <c r="K102" s="826">
        <v>7.5399999999999991</v>
      </c>
      <c r="L102" s="826">
        <v>8.6999999999999993</v>
      </c>
      <c r="M102" s="826">
        <v>9.86</v>
      </c>
      <c r="N102" s="826">
        <v>11.02</v>
      </c>
      <c r="O102" s="826">
        <v>12.18</v>
      </c>
      <c r="P102" s="826">
        <v>13.34</v>
      </c>
      <c r="Q102" s="826">
        <v>14.499999999999998</v>
      </c>
      <c r="R102" s="826">
        <v>15.659999999999998</v>
      </c>
      <c r="S102" s="826">
        <v>16.82</v>
      </c>
      <c r="T102" s="826">
        <v>17.98</v>
      </c>
      <c r="U102" s="826">
        <v>19.139999999999997</v>
      </c>
      <c r="V102" s="826">
        <v>20.299999999999997</v>
      </c>
      <c r="W102" s="826">
        <v>21.459999999999997</v>
      </c>
      <c r="X102" s="826">
        <v>22.619999999999997</v>
      </c>
      <c r="Y102" s="827">
        <v>23.779999999999998</v>
      </c>
    </row>
    <row r="103" spans="3:25" x14ac:dyDescent="0.35">
      <c r="D103" s="850" t="s">
        <v>1361</v>
      </c>
      <c r="E103" s="829">
        <v>0</v>
      </c>
      <c r="F103" s="830">
        <v>0</v>
      </c>
      <c r="G103" s="830">
        <v>0</v>
      </c>
      <c r="H103" s="830">
        <v>0</v>
      </c>
      <c r="I103" s="830">
        <v>0</v>
      </c>
      <c r="J103" s="830">
        <v>0</v>
      </c>
      <c r="K103" s="830">
        <v>0</v>
      </c>
      <c r="L103" s="830">
        <v>109.721967801082</v>
      </c>
      <c r="M103" s="830">
        <v>114.543721226283</v>
      </c>
      <c r="N103" s="830">
        <v>114.69302539949101</v>
      </c>
      <c r="O103" s="830">
        <v>113.588317552305</v>
      </c>
      <c r="P103" s="830">
        <v>110.669946645549</v>
      </c>
      <c r="Q103" s="830">
        <v>107.201810050258</v>
      </c>
      <c r="R103" s="830">
        <v>102.820100616875</v>
      </c>
      <c r="S103" s="830">
        <v>101.11988025330599</v>
      </c>
      <c r="T103" s="830">
        <v>96.321555094066298</v>
      </c>
      <c r="U103" s="830">
        <v>93.699536338556499</v>
      </c>
      <c r="V103" s="830">
        <v>76.593839976416703</v>
      </c>
      <c r="W103" s="830">
        <v>64.907576258917899</v>
      </c>
      <c r="X103" s="830">
        <v>0</v>
      </c>
      <c r="Y103" s="831">
        <v>0</v>
      </c>
    </row>
    <row r="104" spans="3:25" ht="15" thickBot="1" x14ac:dyDescent="0.4">
      <c r="D104" s="851" t="s">
        <v>1366</v>
      </c>
      <c r="E104" s="836">
        <v>0</v>
      </c>
      <c r="F104" s="837">
        <v>0</v>
      </c>
      <c r="G104" s="837">
        <v>0</v>
      </c>
      <c r="H104" s="837">
        <v>0</v>
      </c>
      <c r="I104" s="837">
        <v>0</v>
      </c>
      <c r="J104" s="837">
        <v>0</v>
      </c>
      <c r="K104" s="837">
        <v>0</v>
      </c>
      <c r="L104" s="837">
        <v>210.98675089586601</v>
      </c>
      <c r="M104" s="837">
        <v>219.39457356310399</v>
      </c>
      <c r="N104" s="837">
        <v>220.891823623454</v>
      </c>
      <c r="O104" s="837">
        <v>222.40217915528299</v>
      </c>
      <c r="P104" s="837">
        <v>219.89322265069501</v>
      </c>
      <c r="Q104" s="837">
        <v>215.387644599319</v>
      </c>
      <c r="R104" s="837">
        <v>211.387608557991</v>
      </c>
      <c r="S104" s="837">
        <v>207.155153489079</v>
      </c>
      <c r="T104" s="837">
        <v>200.174215777146</v>
      </c>
      <c r="U104" s="837">
        <v>193.16938232572599</v>
      </c>
      <c r="V104" s="837">
        <v>185.35223625616999</v>
      </c>
      <c r="W104" s="837">
        <v>178.12199387370899</v>
      </c>
      <c r="X104" s="837">
        <v>0</v>
      </c>
      <c r="Y104" s="838">
        <v>0</v>
      </c>
    </row>
  </sheetData>
  <conditionalFormatting sqref="D6:H11 D13:H18 D20:H25 J6:N11 J13:N18 J20:N25 P6:T11 P13:T18 P20:T25 V6:X11 V13:X18 V20:X25">
    <cfRule type="colorScale" priority="17">
      <colorScale>
        <cfvo type="min"/>
        <cfvo type="max"/>
        <color rgb="FFFCFCFF"/>
        <color rgb="FF63BE7B"/>
      </colorScale>
    </cfRule>
  </conditionalFormatting>
  <conditionalFormatting sqref="D6:X25">
    <cfRule type="colorScale" priority="16">
      <colorScale>
        <cfvo type="min"/>
        <cfvo type="max"/>
        <color rgb="FFFCFCFF"/>
        <color rgb="FF63BE7B"/>
      </colorScale>
    </cfRule>
  </conditionalFormatting>
  <conditionalFormatting sqref="D34:H39 D41:H46 D48:H53 J34:N39 J41:N46 J48:N53 P34:T39 P41:T46 P48:T53 V34:X39 V41:X46 V48:X53">
    <cfRule type="colorScale" priority="15">
      <colorScale>
        <cfvo type="min"/>
        <cfvo type="max"/>
        <color rgb="FFFCFCFF"/>
        <color rgb="FF63BE7B"/>
      </colorScale>
    </cfRule>
  </conditionalFormatting>
  <conditionalFormatting sqref="D34:X53">
    <cfRule type="colorScale" priority="14">
      <colorScale>
        <cfvo type="min"/>
        <cfvo type="max"/>
        <color rgb="FFFCFCFF"/>
        <color rgb="FF63BE7B"/>
      </colorScale>
    </cfRule>
  </conditionalFormatting>
  <conditionalFormatting sqref="D62:X81">
    <cfRule type="colorScale" priority="12">
      <colorScale>
        <cfvo type="min"/>
        <cfvo type="max"/>
        <color rgb="FFFCFCFF"/>
        <color rgb="FF63BE7B"/>
      </colorScale>
    </cfRule>
  </conditionalFormatting>
  <conditionalFormatting sqref="D62:H67 D69:H74 D76:H81 J62:N67 J69:N74 J76:N81 P62:T67 P69:T74 P76:T81 V62:X67 V69:X74 V76:X81">
    <cfRule type="colorScale" priority="13">
      <colorScale>
        <cfvo type="min"/>
        <cfvo type="max"/>
        <color rgb="FFFCFCFF"/>
        <color rgb="FF63BE7B"/>
      </colorScale>
    </cfRule>
  </conditionalFormatting>
  <conditionalFormatting sqref="E96:I96 K96:O96 Q96:U96 W96:Y96">
    <cfRule type="colorScale" priority="11">
      <colorScale>
        <cfvo type="min"/>
        <cfvo type="max"/>
        <color rgb="FFFCFCFF"/>
        <color rgb="FF63BE7B"/>
      </colorScale>
    </cfRule>
  </conditionalFormatting>
  <conditionalFormatting sqref="E96:Y96">
    <cfRule type="colorScale" priority="10">
      <colorScale>
        <cfvo type="min"/>
        <cfvo type="max"/>
        <color rgb="FFFCFCFF"/>
        <color rgb="FF63BE7B"/>
      </colorScale>
    </cfRule>
  </conditionalFormatting>
  <conditionalFormatting sqref="E97:I97 K97:O97 Q97:U97 W97:Y97">
    <cfRule type="colorScale" priority="9">
      <colorScale>
        <cfvo type="min"/>
        <cfvo type="max"/>
        <color rgb="FFFCFCFF"/>
        <color rgb="FF63BE7B"/>
      </colorScale>
    </cfRule>
  </conditionalFormatting>
  <conditionalFormatting sqref="E97:Y97">
    <cfRule type="colorScale" priority="8">
      <colorScale>
        <cfvo type="min"/>
        <cfvo type="max"/>
        <color rgb="FFFCFCFF"/>
        <color rgb="FF63BE7B"/>
      </colorScale>
    </cfRule>
  </conditionalFormatting>
  <conditionalFormatting sqref="E96:Y97">
    <cfRule type="colorScale" priority="7">
      <colorScale>
        <cfvo type="min"/>
        <cfvo type="max"/>
        <color rgb="FFFCFCFF"/>
        <color rgb="FF63BE7B"/>
      </colorScale>
    </cfRule>
  </conditionalFormatting>
  <conditionalFormatting sqref="E89:I89 K89:O89 Q89:U89 W89:Y89">
    <cfRule type="colorScale" priority="6">
      <colorScale>
        <cfvo type="min"/>
        <cfvo type="max"/>
        <color rgb="FFFCFCFF"/>
        <color rgb="FF63BE7B"/>
      </colorScale>
    </cfRule>
  </conditionalFormatting>
  <conditionalFormatting sqref="E89:Y89">
    <cfRule type="colorScale" priority="5">
      <colorScale>
        <cfvo type="min"/>
        <cfvo type="max"/>
        <color rgb="FFFCFCFF"/>
        <color rgb="FF63BE7B"/>
      </colorScale>
    </cfRule>
  </conditionalFormatting>
  <conditionalFormatting sqref="E90:I90 K90:O90 Q90:U90 W90:Y90">
    <cfRule type="colorScale" priority="4">
      <colorScale>
        <cfvo type="min"/>
        <cfvo type="max"/>
        <color rgb="FFFCFCFF"/>
        <color rgb="FF63BE7B"/>
      </colorScale>
    </cfRule>
  </conditionalFormatting>
  <conditionalFormatting sqref="E90:Y90">
    <cfRule type="colorScale" priority="3">
      <colorScale>
        <cfvo type="min"/>
        <cfvo type="max"/>
        <color rgb="FFFCFCFF"/>
        <color rgb="FF63BE7B"/>
      </colorScale>
    </cfRule>
  </conditionalFormatting>
  <conditionalFormatting sqref="E103:Y103">
    <cfRule type="colorScale" priority="2">
      <colorScale>
        <cfvo type="min"/>
        <cfvo type="max"/>
        <color rgb="FFFCFCFF"/>
        <color rgb="FF63BE7B"/>
      </colorScale>
    </cfRule>
  </conditionalFormatting>
  <conditionalFormatting sqref="E104:Y104">
    <cfRule type="colorScale" priority="1">
      <colorScale>
        <cfvo type="min"/>
        <cfvo type="max"/>
        <color rgb="FFFCFCFF"/>
        <color rgb="FF63BE7B"/>
      </colorScale>
    </cfRule>
  </conditionalFormatting>
  <pageMargins left="0.7" right="0.7" top="0.75" bottom="0.75" header="0.3" footer="0.3"/>
  <pageSetup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zoomScale="70" zoomScaleNormal="70" workbookViewId="0">
      <pane xSplit="8" ySplit="4" topLeftCell="I5" activePane="bottomRight" state="frozen"/>
      <selection activeCell="A3" sqref="A3"/>
      <selection pane="topRight" activeCell="I3" sqref="I3"/>
      <selection pane="bottomLeft" activeCell="A5" sqref="A5"/>
      <selection pane="bottomRight" activeCell="P31" sqref="P31"/>
    </sheetView>
  </sheetViews>
  <sheetFormatPr defaultColWidth="9.08984375" defaultRowHeight="14.5" outlineLevelRow="2" x14ac:dyDescent="0.35"/>
  <cols>
    <col min="1" max="1" width="8.453125" style="38" customWidth="1"/>
    <col min="2" max="2" width="3.90625" style="71" customWidth="1"/>
    <col min="3" max="4" width="4.08984375" style="71" customWidth="1"/>
    <col min="5" max="7" width="9.08984375" style="71"/>
    <col min="8" max="9" width="20.36328125" style="71" customWidth="1"/>
    <col min="10" max="10" width="19.54296875" style="71" bestFit="1" customWidth="1"/>
    <col min="11" max="11" width="10.08984375" style="60" customWidth="1"/>
    <col min="12" max="12" width="20.453125" style="71" bestFit="1" customWidth="1"/>
    <col min="13" max="13" width="10.08984375" style="60" customWidth="1"/>
    <col min="14" max="14" width="22.6328125" style="71" bestFit="1" customWidth="1"/>
    <col min="15" max="15" width="11.54296875" style="60" customWidth="1"/>
    <col min="16" max="16" width="20.90625" style="71" customWidth="1"/>
    <col min="17" max="17" width="11" style="71" customWidth="1"/>
    <col min="18" max="18" width="17.08984375" style="71" bestFit="1" customWidth="1"/>
    <col min="19" max="19" width="16.90625" style="71" bestFit="1" customWidth="1"/>
    <col min="20" max="22" width="13.36328125" style="71" bestFit="1" customWidth="1"/>
    <col min="23" max="16384" width="9.08984375" style="71"/>
  </cols>
  <sheetData>
    <row r="1" spans="1:19" ht="23.25" customHeight="1" x14ac:dyDescent="0.35">
      <c r="A1" s="38" t="s">
        <v>206</v>
      </c>
      <c r="J1" s="517">
        <f>'CBS (Total)'!J2*'Performance &amp; Economics'!$S$15</f>
        <v>332</v>
      </c>
      <c r="K1" s="517"/>
      <c r="L1" s="517">
        <f>'CBS (Total)'!L2*'Performance &amp; Economics'!$S$15</f>
        <v>3320</v>
      </c>
      <c r="M1" s="517"/>
      <c r="N1" s="517">
        <f>'CBS (Total)'!N2*'Performance &amp; Economics'!$S$15</f>
        <v>16600</v>
      </c>
      <c r="O1" s="517"/>
      <c r="P1" s="517">
        <f>'CBS (Total)'!P2*'Performance &amp; Economics'!$S$15</f>
        <v>33200</v>
      </c>
    </row>
    <row r="2" spans="1:19" ht="29.25" customHeight="1" x14ac:dyDescent="0.35"/>
    <row r="3" spans="1:19" ht="20.25" customHeight="1" x14ac:dyDescent="0.35">
      <c r="A3" s="3" t="s">
        <v>273</v>
      </c>
      <c r="I3" s="59"/>
      <c r="J3" s="903" t="s">
        <v>66</v>
      </c>
      <c r="K3" s="903"/>
      <c r="L3" s="903"/>
      <c r="M3" s="903"/>
      <c r="N3" s="903"/>
      <c r="O3" s="903"/>
      <c r="P3" s="903"/>
      <c r="Q3" s="59"/>
    </row>
    <row r="4" spans="1:19" ht="22.5" customHeight="1" x14ac:dyDescent="0.35">
      <c r="I4" s="59" t="s">
        <v>109</v>
      </c>
      <c r="J4" s="59">
        <v>1</v>
      </c>
      <c r="K4" s="99" t="s">
        <v>141</v>
      </c>
      <c r="L4" s="59">
        <v>10</v>
      </c>
      <c r="M4" s="99" t="s">
        <v>141</v>
      </c>
      <c r="N4" s="59">
        <v>50</v>
      </c>
      <c r="O4" s="99" t="s">
        <v>142</v>
      </c>
      <c r="P4" s="59">
        <v>100</v>
      </c>
      <c r="Q4" s="99" t="s">
        <v>142</v>
      </c>
      <c r="R4" s="59"/>
      <c r="S4" s="72"/>
    </row>
    <row r="5" spans="1:19" x14ac:dyDescent="0.35">
      <c r="A5" s="72">
        <v>1</v>
      </c>
      <c r="B5" s="59" t="s">
        <v>0</v>
      </c>
      <c r="J5" s="64"/>
      <c r="K5" s="91"/>
      <c r="L5" s="64"/>
      <c r="M5" s="91"/>
      <c r="N5" s="64"/>
      <c r="O5" s="91"/>
      <c r="P5" s="64"/>
    </row>
    <row r="6" spans="1:19" s="59" customFormat="1" x14ac:dyDescent="0.35">
      <c r="A6" s="72">
        <v>1.1000000000000001</v>
      </c>
      <c r="C6" s="59" t="s">
        <v>98</v>
      </c>
      <c r="J6" s="151">
        <f>'CBS (Total)'!J4/'CBS ($ per kW)'!J$1</f>
        <v>13266.863729199504</v>
      </c>
      <c r="K6" s="88">
        <f t="shared" ref="K6:K37" si="0">J6/$J$56</f>
        <v>0.31354063360902323</v>
      </c>
      <c r="L6" s="151">
        <f>'CBS (Total)'!L4/'CBS ($ per kW)'!L$1</f>
        <v>2442.6012532436453</v>
      </c>
      <c r="M6" s="88">
        <f t="shared" ref="M6:M37" si="1">L6/$L$56</f>
        <v>0.22475432539271942</v>
      </c>
      <c r="N6" s="151">
        <f>'CBS (Total)'!N4/'CBS ($ per kW)'!N$1</f>
        <v>541.98367737526496</v>
      </c>
      <c r="O6" s="88">
        <f t="shared" ref="O6:O37" si="2">N6/$N$56</f>
        <v>9.5156109833516037E-2</v>
      </c>
      <c r="P6" s="389">
        <f>'CBS (Total)'!P4/'CBS ($ per kW)'!P$1</f>
        <v>266.75179800477338</v>
      </c>
      <c r="Q6" s="94">
        <f t="shared" ref="Q6:Q37" si="3">P6/$P$56</f>
        <v>5.1607844100086502E-2</v>
      </c>
      <c r="R6" s="120"/>
      <c r="S6" s="120"/>
    </row>
    <row r="7" spans="1:19" s="60" customFormat="1" outlineLevel="1" x14ac:dyDescent="0.35">
      <c r="A7" s="83" t="s">
        <v>2</v>
      </c>
      <c r="D7" s="60" t="s">
        <v>1</v>
      </c>
      <c r="I7" s="78"/>
      <c r="J7" s="711">
        <f>'CBS (Total)'!J5/'CBS ($ per kW)'!J$1</f>
        <v>10850.903614457831</v>
      </c>
      <c r="K7" s="707">
        <f t="shared" si="0"/>
        <v>0.25644336626594949</v>
      </c>
      <c r="L7" s="711">
        <f>'CBS (Total)'!L5/'CBS ($ per kW)'!L$1</f>
        <v>2066.265060240964</v>
      </c>
      <c r="M7" s="707">
        <f t="shared" si="1"/>
        <v>0.19012600156505419</v>
      </c>
      <c r="N7" s="711">
        <f>'CBS (Total)'!N5/'CBS ($ per kW)'!N$1</f>
        <v>422.74096385542168</v>
      </c>
      <c r="O7" s="707">
        <f t="shared" si="2"/>
        <v>7.4220658789140109E-2</v>
      </c>
      <c r="P7" s="706">
        <f>'CBS (Total)'!P5/'CBS ($ per kW)'!P$1</f>
        <v>211.37048192771084</v>
      </c>
      <c r="Q7" s="708">
        <f t="shared" si="3"/>
        <v>4.0893350898764155E-2</v>
      </c>
      <c r="R7" s="91"/>
      <c r="S7" s="91"/>
    </row>
    <row r="8" spans="1:19" s="60" customFormat="1" outlineLevel="2" x14ac:dyDescent="0.35">
      <c r="A8" s="83" t="s">
        <v>99</v>
      </c>
      <c r="E8" s="60" t="s">
        <v>3</v>
      </c>
      <c r="I8" s="78"/>
      <c r="J8" s="711">
        <f>'CBS (Total)'!J6/'CBS ($ per kW)'!J$1</f>
        <v>1009.0361445783133</v>
      </c>
      <c r="K8" s="707">
        <f t="shared" si="0"/>
        <v>2.3846919555612238E-2</v>
      </c>
      <c r="L8" s="711">
        <f>'CBS (Total)'!L6/'CBS ($ per kW)'!L$1</f>
        <v>128.01204819277109</v>
      </c>
      <c r="M8" s="707">
        <f t="shared" si="1"/>
        <v>1.1778943245648401E-2</v>
      </c>
      <c r="N8" s="711">
        <f>'CBS (Total)'!N6/'CBS ($ per kW)'!N$1</f>
        <v>25.602409638554217</v>
      </c>
      <c r="O8" s="707">
        <f t="shared" si="2"/>
        <v>4.4950167417719339E-3</v>
      </c>
      <c r="P8" s="706">
        <f>'CBS (Total)'!P6/'CBS ($ per kW)'!P$1</f>
        <v>12.801204819277109</v>
      </c>
      <c r="Q8" s="708">
        <f t="shared" si="3"/>
        <v>2.4766190426754207E-3</v>
      </c>
    </row>
    <row r="9" spans="1:19" s="60" customFormat="1" outlineLevel="2" x14ac:dyDescent="0.35">
      <c r="A9" s="83" t="s">
        <v>100</v>
      </c>
      <c r="E9" s="60" t="s">
        <v>5</v>
      </c>
      <c r="I9" s="78"/>
      <c r="J9" s="711">
        <f>'CBS (Total)'!J7/'CBS ($ per kW)'!J$1</f>
        <v>4917.1686746987953</v>
      </c>
      <c r="K9" s="707">
        <f t="shared" si="0"/>
        <v>0.11620924231205068</v>
      </c>
      <c r="L9" s="711">
        <f>'CBS (Total)'!L7/'CBS ($ per kW)'!L$1</f>
        <v>858.43373493975901</v>
      </c>
      <c r="M9" s="707">
        <f t="shared" si="1"/>
        <v>7.8988207647289269E-2</v>
      </c>
      <c r="N9" s="711">
        <f>'CBS (Total)'!N7/'CBS ($ per kW)'!N$1</f>
        <v>167.62048192771084</v>
      </c>
      <c r="O9" s="707">
        <f t="shared" si="2"/>
        <v>2.9429139021130368E-2</v>
      </c>
      <c r="P9" s="706">
        <f>'CBS (Total)'!P7/'CBS ($ per kW)'!P$1</f>
        <v>83.810240963855421</v>
      </c>
      <c r="Q9" s="708">
        <f t="shared" si="3"/>
        <v>1.6214570555869078E-2</v>
      </c>
      <c r="R9" s="91"/>
    </row>
    <row r="10" spans="1:19" s="60" customFormat="1" outlineLevel="2" x14ac:dyDescent="0.35">
      <c r="A10" s="83" t="s">
        <v>101</v>
      </c>
      <c r="E10" s="60" t="s">
        <v>7</v>
      </c>
      <c r="I10" s="78"/>
      <c r="J10" s="711">
        <f>'CBS (Total)'!J8/'CBS ($ per kW)'!J$1</f>
        <v>2138.5542168674697</v>
      </c>
      <c r="K10" s="707">
        <f t="shared" si="0"/>
        <v>5.0541232490999066E-2</v>
      </c>
      <c r="L10" s="711">
        <f>'CBS (Total)'!L8/'CBS ($ per kW)'!L$1</f>
        <v>683.73493975903614</v>
      </c>
      <c r="M10" s="707">
        <f t="shared" si="1"/>
        <v>6.2913414512051458E-2</v>
      </c>
      <c r="N10" s="711">
        <f>'CBS (Total)'!N8/'CBS ($ per kW)'!N$1</f>
        <v>136.74698795180723</v>
      </c>
      <c r="O10" s="707">
        <f t="shared" si="2"/>
        <v>2.4008677656052448E-2</v>
      </c>
      <c r="P10" s="706">
        <f>'CBS (Total)'!P8/'CBS ($ per kW)'!P$1</f>
        <v>68.373493975903614</v>
      </c>
      <c r="Q10" s="708">
        <f t="shared" si="3"/>
        <v>1.3228059357348717E-2</v>
      </c>
    </row>
    <row r="11" spans="1:19" s="60" customFormat="1" outlineLevel="2" x14ac:dyDescent="0.35">
      <c r="A11" s="83" t="s">
        <v>102</v>
      </c>
      <c r="E11" s="60" t="s">
        <v>8</v>
      </c>
      <c r="I11" s="78"/>
      <c r="J11" s="711">
        <f>'CBS (Total)'!J9/'CBS ($ per kW)'!J$1</f>
        <v>2786.1445783132531</v>
      </c>
      <c r="K11" s="707">
        <f t="shared" si="0"/>
        <v>6.5845971907287526E-2</v>
      </c>
      <c r="L11" s="711">
        <f>'CBS (Total)'!L9/'CBS ($ per kW)'!L$1</f>
        <v>396.08433734939757</v>
      </c>
      <c r="M11" s="707">
        <f t="shared" si="1"/>
        <v>3.6445436160065049E-2</v>
      </c>
      <c r="N11" s="711">
        <f>'CBS (Total)'!N9/'CBS ($ per kW)'!N$1</f>
        <v>92.771084337349393</v>
      </c>
      <c r="O11" s="707">
        <f t="shared" si="2"/>
        <v>1.628782537018536E-2</v>
      </c>
      <c r="P11" s="706">
        <f>'CBS (Total)'!P9/'CBS ($ per kW)'!P$1</f>
        <v>46.385542168674696</v>
      </c>
      <c r="Q11" s="708">
        <f t="shared" si="3"/>
        <v>8.9741019428709358E-3</v>
      </c>
    </row>
    <row r="12" spans="1:19" s="60" customFormat="1" outlineLevel="1" x14ac:dyDescent="0.35">
      <c r="A12" s="83" t="s">
        <v>4</v>
      </c>
      <c r="D12" s="60" t="s">
        <v>103</v>
      </c>
      <c r="I12" s="78"/>
      <c r="J12" s="711">
        <f>'CBS (Total)'!J10/'CBS ($ per kW)'!J$1</f>
        <v>584.22590361445782</v>
      </c>
      <c r="K12" s="707">
        <f t="shared" si="0"/>
        <v>1.3807224053030497E-2</v>
      </c>
      <c r="L12" s="711">
        <f>'CBS (Total)'!L10/'CBS ($ per kW)'!L$1</f>
        <v>88.572590361445776</v>
      </c>
      <c r="M12" s="707">
        <f t="shared" si="1"/>
        <v>8.1499478347261504E-3</v>
      </c>
      <c r="N12" s="711">
        <f>'CBS (Total)'!N10/'CBS ($ per kW)'!N$1</f>
        <v>17.714518072289156</v>
      </c>
      <c r="O12" s="707">
        <f t="shared" si="2"/>
        <v>3.1101391014169335E-3</v>
      </c>
      <c r="P12" s="706">
        <f>'CBS (Total)'!P10/'CBS ($ per kW)'!P$1</f>
        <v>8.857259036144578</v>
      </c>
      <c r="Q12" s="708">
        <f t="shared" si="3"/>
        <v>1.7135931113133574E-3</v>
      </c>
    </row>
    <row r="13" spans="1:19" s="60" customFormat="1" outlineLevel="1" x14ac:dyDescent="0.35">
      <c r="A13" s="83" t="s">
        <v>6</v>
      </c>
      <c r="D13" s="60" t="s">
        <v>160</v>
      </c>
      <c r="I13" s="78"/>
      <c r="J13" s="711">
        <f>'CBS (Total)'!J11/'CBS ($ per kW)'!J$1</f>
        <v>1831.734211127216</v>
      </c>
      <c r="K13" s="707">
        <f t="shared" si="0"/>
        <v>4.3290043290043288E-2</v>
      </c>
      <c r="L13" s="711">
        <f>'CBS (Total)'!L11/'CBS ($ per kW)'!L$1</f>
        <v>287.76360264123571</v>
      </c>
      <c r="M13" s="707">
        <f t="shared" si="1"/>
        <v>2.6478375992939104E-2</v>
      </c>
      <c r="N13" s="711">
        <f>'CBS (Total)'!N11/'CBS ($ per kW)'!N$1</f>
        <v>101.5281954475542</v>
      </c>
      <c r="O13" s="707">
        <f t="shared" si="2"/>
        <v>1.7825311942959002E-2</v>
      </c>
      <c r="P13" s="706">
        <f>'CBS (Total)'!P11/'CBS ($ per kW)'!P$1</f>
        <v>46.524057040917981</v>
      </c>
      <c r="Q13" s="708">
        <f t="shared" si="3"/>
        <v>9.0009000900089994E-3</v>
      </c>
    </row>
    <row r="14" spans="1:19" s="59" customFormat="1" x14ac:dyDescent="0.35">
      <c r="A14" s="72">
        <v>1.2</v>
      </c>
      <c r="C14" s="59" t="s">
        <v>10</v>
      </c>
      <c r="I14" s="81"/>
      <c r="J14" s="710">
        <f>'CBS (Total)'!J12/'CBS ($ per kW)'!J$1</f>
        <v>2981.9277108433735</v>
      </c>
      <c r="K14" s="88">
        <f t="shared" si="0"/>
        <v>7.0472986149421241E-2</v>
      </c>
      <c r="L14" s="710">
        <f>'CBS (Total)'!L12/'CBS ($ per kW)'!L$1</f>
        <v>1463.8554216867469</v>
      </c>
      <c r="M14" s="88">
        <f t="shared" si="1"/>
        <v>0.13469568040906169</v>
      </c>
      <c r="N14" s="710">
        <f>'CBS (Total)'!N12/'CBS ($ per kW)'!N$1</f>
        <v>455.7831325301205</v>
      </c>
      <c r="O14" s="88">
        <f t="shared" si="2"/>
        <v>8.0021874513521066E-2</v>
      </c>
      <c r="P14" s="705">
        <f>'CBS (Total)'!P12/'CBS ($ per kW)'!P$1</f>
        <v>521.38554216867465</v>
      </c>
      <c r="Q14" s="94">
        <f t="shared" si="3"/>
        <v>0.10087123677343889</v>
      </c>
    </row>
    <row r="15" spans="1:19" s="60" customFormat="1" outlineLevel="1" x14ac:dyDescent="0.35">
      <c r="A15" s="83" t="s">
        <v>9</v>
      </c>
      <c r="D15" s="60" t="s">
        <v>12</v>
      </c>
      <c r="I15" s="78"/>
      <c r="J15" s="711">
        <f>'CBS (Total)'!J13/'CBS ($ per kW)'!J$1</f>
        <v>2710.8433734939758</v>
      </c>
      <c r="K15" s="707">
        <f t="shared" si="0"/>
        <v>6.4066351044928388E-2</v>
      </c>
      <c r="L15" s="711">
        <f>'CBS (Total)'!L13/'CBS ($ per kW)'!L$1</f>
        <v>271.08433734939757</v>
      </c>
      <c r="M15" s="707">
        <f t="shared" si="1"/>
        <v>2.4943644520196609E-2</v>
      </c>
      <c r="N15" s="711">
        <f>'CBS (Total)'!N13/'CBS ($ per kW)'!N$1</f>
        <v>202.40963855421685</v>
      </c>
      <c r="O15" s="707">
        <f t="shared" si="2"/>
        <v>3.5537073534949878E-2</v>
      </c>
      <c r="P15" s="706">
        <f>'CBS (Total)'!P13/'CBS ($ per kW)'!P$1</f>
        <v>262.04819277108436</v>
      </c>
      <c r="Q15" s="708">
        <f t="shared" si="3"/>
        <v>5.069784863829685E-2</v>
      </c>
    </row>
    <row r="16" spans="1:19" s="60" customFormat="1" outlineLevel="1" x14ac:dyDescent="0.35">
      <c r="A16" s="83" t="s">
        <v>11</v>
      </c>
      <c r="D16" s="60" t="s">
        <v>145</v>
      </c>
      <c r="I16" s="78"/>
      <c r="J16" s="711">
        <f>'CBS (Total)'!J14/'CBS ($ per kW)'!J$1</f>
        <v>271.08433734939757</v>
      </c>
      <c r="K16" s="707">
        <f t="shared" si="0"/>
        <v>6.4066351044928388E-3</v>
      </c>
      <c r="L16" s="711">
        <f>'CBS (Total)'!L14/'CBS ($ per kW)'!L$1</f>
        <v>27.108433734939759</v>
      </c>
      <c r="M16" s="707">
        <f t="shared" si="1"/>
        <v>2.4943644520196611E-3</v>
      </c>
      <c r="N16" s="711">
        <f>'CBS (Total)'!N14/'CBS ($ per kW)'!N$1</f>
        <v>20.240963855421686</v>
      </c>
      <c r="O16" s="707">
        <f t="shared" si="2"/>
        <v>3.5537073534949878E-3</v>
      </c>
      <c r="P16" s="706">
        <f>'CBS (Total)'!P14/'CBS ($ per kW)'!P$1</f>
        <v>26.204819277108435</v>
      </c>
      <c r="Q16" s="708">
        <f t="shared" si="3"/>
        <v>5.0697848638296848E-3</v>
      </c>
    </row>
    <row r="17" spans="1:27" s="60" customFormat="1" outlineLevel="1" x14ac:dyDescent="0.35">
      <c r="A17" s="83" t="s">
        <v>13</v>
      </c>
      <c r="D17" s="60" t="s">
        <v>14</v>
      </c>
      <c r="I17" s="78"/>
      <c r="J17" s="711">
        <f>'CBS (Total)'!J15/'CBS ($ per kW)'!J$1</f>
        <v>0</v>
      </c>
      <c r="K17" s="707">
        <f t="shared" si="0"/>
        <v>0</v>
      </c>
      <c r="L17" s="711">
        <f>'CBS (Total)'!L15/'CBS ($ per kW)'!L$1</f>
        <v>0</v>
      </c>
      <c r="M17" s="707">
        <f t="shared" si="1"/>
        <v>0</v>
      </c>
      <c r="N17" s="711">
        <f>'CBS (Total)'!N15/'CBS ($ per kW)'!N$1</f>
        <v>0</v>
      </c>
      <c r="O17" s="707">
        <f t="shared" si="2"/>
        <v>0</v>
      </c>
      <c r="P17" s="706">
        <f>'CBS (Total)'!P15/'CBS ($ per kW)'!P$1</f>
        <v>0</v>
      </c>
      <c r="Q17" s="708">
        <f t="shared" si="3"/>
        <v>0</v>
      </c>
    </row>
    <row r="18" spans="1:27" s="60" customFormat="1" outlineLevel="1" x14ac:dyDescent="0.35">
      <c r="A18" s="83" t="s">
        <v>15</v>
      </c>
      <c r="D18" s="60" t="s">
        <v>59</v>
      </c>
      <c r="I18" s="78"/>
      <c r="J18" s="711">
        <f>'CBS (Total)'!J16/'CBS ($ per kW)'!J$1</f>
        <v>0</v>
      </c>
      <c r="K18" s="707">
        <f t="shared" si="0"/>
        <v>0</v>
      </c>
      <c r="L18" s="711">
        <f>'CBS (Total)'!L16/'CBS ($ per kW)'!L$1</f>
        <v>1165.6626506024097</v>
      </c>
      <c r="M18" s="707">
        <f t="shared" si="1"/>
        <v>0.10725767143684543</v>
      </c>
      <c r="N18" s="711">
        <f>'CBS (Total)'!N16/'CBS ($ per kW)'!N$1</f>
        <v>233.13253012048193</v>
      </c>
      <c r="O18" s="707">
        <f t="shared" si="2"/>
        <v>4.0931093625076201E-2</v>
      </c>
      <c r="P18" s="706">
        <f>'CBS (Total)'!P16/'CBS ($ per kW)'!P$1</f>
        <v>233.13253012048193</v>
      </c>
      <c r="Q18" s="708">
        <f t="shared" si="3"/>
        <v>4.5103603271312367E-2</v>
      </c>
    </row>
    <row r="19" spans="1:27" s="60" customFormat="1" outlineLevel="1" x14ac:dyDescent="0.35">
      <c r="A19" s="83" t="s">
        <v>16</v>
      </c>
      <c r="D19" s="60" t="s">
        <v>17</v>
      </c>
      <c r="I19" s="78"/>
      <c r="J19" s="711">
        <f>'CBS (Total)'!J17/'CBS ($ per kW)'!J$1</f>
        <v>0</v>
      </c>
      <c r="K19" s="707">
        <f t="shared" si="0"/>
        <v>0</v>
      </c>
      <c r="L19" s="711">
        <f>'CBS (Total)'!L17/'CBS ($ per kW)'!L$1</f>
        <v>0</v>
      </c>
      <c r="M19" s="707">
        <f t="shared" si="1"/>
        <v>0</v>
      </c>
      <c r="N19" s="711">
        <f>'CBS (Total)'!N17/'CBS ($ per kW)'!N$1</f>
        <v>0</v>
      </c>
      <c r="O19" s="707">
        <f t="shared" si="2"/>
        <v>0</v>
      </c>
      <c r="P19" s="706">
        <f>'CBS (Total)'!P17/'CBS ($ per kW)'!P$1</f>
        <v>0</v>
      </c>
      <c r="Q19" s="708">
        <f t="shared" si="3"/>
        <v>0</v>
      </c>
    </row>
    <row r="20" spans="1:27" s="59" customFormat="1" x14ac:dyDescent="0.35">
      <c r="A20" s="72">
        <v>1.3</v>
      </c>
      <c r="C20" s="59" t="s">
        <v>18</v>
      </c>
      <c r="I20" s="81"/>
      <c r="J20" s="710">
        <f>'CBS (Total)'!J18/'CBS ($ per kW)'!J$1</f>
        <v>273.29398919638083</v>
      </c>
      <c r="K20" s="88">
        <f t="shared" si="0"/>
        <v>6.4588566132307056E-3</v>
      </c>
      <c r="L20" s="710">
        <f>'CBS (Total)'!L18/'CBS ($ per kW)'!L$1</f>
        <v>214.74976699793214</v>
      </c>
      <c r="M20" s="88">
        <f t="shared" si="1"/>
        <v>1.9760056597764086E-2</v>
      </c>
      <c r="N20" s="710">
        <f>'CBS (Total)'!N18/'CBS ($ per kW)'!N$1</f>
        <v>181.44807875476877</v>
      </c>
      <c r="O20" s="88">
        <f t="shared" si="2"/>
        <v>3.1856851104234425E-2</v>
      </c>
      <c r="P20" s="705">
        <f>'CBS (Total)'!P18/'CBS ($ per kW)'!P$1</f>
        <v>168.74671324193497</v>
      </c>
      <c r="Q20" s="94">
        <f t="shared" si="3"/>
        <v>3.2647030440019549E-2</v>
      </c>
    </row>
    <row r="21" spans="1:27" s="60" customFormat="1" outlineLevel="1" x14ac:dyDescent="0.35">
      <c r="A21" s="83" t="s">
        <v>19</v>
      </c>
      <c r="D21" s="60" t="s">
        <v>20</v>
      </c>
      <c r="I21" s="78"/>
      <c r="J21" s="711">
        <f>'CBS (Total)'!J19/'CBS ($ per kW)'!J$1</f>
        <v>124.22454054380947</v>
      </c>
      <c r="K21" s="707">
        <f t="shared" si="0"/>
        <v>2.9358439151048665E-3</v>
      </c>
      <c r="L21" s="711">
        <f>'CBS (Total)'!L19/'CBS ($ per kW)'!L$1</f>
        <v>97.61353045360552</v>
      </c>
      <c r="M21" s="707">
        <f t="shared" si="1"/>
        <v>8.981843908074584E-3</v>
      </c>
      <c r="N21" s="711">
        <f>'CBS (Total)'!N19/'CBS ($ per kW)'!N$1</f>
        <v>82.476399433985819</v>
      </c>
      <c r="O21" s="707">
        <f t="shared" si="2"/>
        <v>1.4480386865561105E-2</v>
      </c>
      <c r="P21" s="706">
        <f>'CBS (Total)'!P19/'CBS ($ per kW)'!P$1</f>
        <v>76.703051473606806</v>
      </c>
      <c r="Q21" s="708">
        <f t="shared" si="3"/>
        <v>1.4839559290917978E-2</v>
      </c>
    </row>
    <row r="22" spans="1:27" s="60" customFormat="1" outlineLevel="1" x14ac:dyDescent="0.35">
      <c r="A22" s="83" t="s">
        <v>21</v>
      </c>
      <c r="D22" s="60" t="s">
        <v>22</v>
      </c>
      <c r="I22" s="78"/>
      <c r="J22" s="711">
        <f>'CBS (Total)'!J20/'CBS ($ per kW)'!J$1</f>
        <v>124.22454054380947</v>
      </c>
      <c r="K22" s="707">
        <f t="shared" si="0"/>
        <v>2.9358439151048665E-3</v>
      </c>
      <c r="L22" s="711">
        <f>'CBS (Total)'!L20/'CBS ($ per kW)'!L$1</f>
        <v>97.61353045360552</v>
      </c>
      <c r="M22" s="707">
        <f t="shared" si="1"/>
        <v>8.981843908074584E-3</v>
      </c>
      <c r="N22" s="711">
        <f>'CBS (Total)'!N20/'CBS ($ per kW)'!N$1</f>
        <v>82.476399433985819</v>
      </c>
      <c r="O22" s="707">
        <f t="shared" si="2"/>
        <v>1.4480386865561105E-2</v>
      </c>
      <c r="P22" s="706">
        <f>'CBS (Total)'!P20/'CBS ($ per kW)'!P$1</f>
        <v>76.703051473606806</v>
      </c>
      <c r="Q22" s="708">
        <f t="shared" si="3"/>
        <v>1.4839559290917978E-2</v>
      </c>
    </row>
    <row r="23" spans="1:27" s="60" customFormat="1" outlineLevel="1" x14ac:dyDescent="0.35">
      <c r="A23" s="83" t="s">
        <v>23</v>
      </c>
      <c r="D23" s="60" t="s">
        <v>385</v>
      </c>
      <c r="I23" s="78"/>
      <c r="J23" s="711">
        <f>'CBS (Total)'!J21/'CBS ($ per kW)'!J$1</f>
        <v>0</v>
      </c>
      <c r="K23" s="707">
        <f t="shared" si="0"/>
        <v>0</v>
      </c>
      <c r="L23" s="711">
        <f>'CBS (Total)'!L21/'CBS ($ per kW)'!L$1</f>
        <v>0</v>
      </c>
      <c r="M23" s="707">
        <f t="shared" si="1"/>
        <v>0</v>
      </c>
      <c r="N23" s="711">
        <f>'CBS (Total)'!N21/'CBS ($ per kW)'!N$1</f>
        <v>0</v>
      </c>
      <c r="O23" s="707">
        <f t="shared" si="2"/>
        <v>0</v>
      </c>
      <c r="P23" s="706">
        <f>'CBS (Total)'!P21/'CBS ($ per kW)'!P$1</f>
        <v>0</v>
      </c>
      <c r="Q23" s="708">
        <f t="shared" si="3"/>
        <v>0</v>
      </c>
    </row>
    <row r="24" spans="1:27" s="60" customFormat="1" outlineLevel="1" x14ac:dyDescent="0.35">
      <c r="A24" s="83" t="s">
        <v>24</v>
      </c>
      <c r="D24" s="60" t="s">
        <v>25</v>
      </c>
      <c r="I24" s="78"/>
      <c r="J24" s="711">
        <f>'CBS (Total)'!J22/'CBS ($ per kW)'!J$1</f>
        <v>24.844908108761896</v>
      </c>
      <c r="K24" s="707">
        <f t="shared" si="0"/>
        <v>5.8716878302097336E-4</v>
      </c>
      <c r="L24" s="711">
        <f>'CBS (Total)'!L22/'CBS ($ per kW)'!L$1</f>
        <v>19.522706090721105</v>
      </c>
      <c r="M24" s="707">
        <f t="shared" si="1"/>
        <v>1.7963687816149171E-3</v>
      </c>
      <c r="N24" s="711">
        <f>'CBS (Total)'!N22/'CBS ($ per kW)'!N$1</f>
        <v>16.495279886797164</v>
      </c>
      <c r="O24" s="707">
        <f t="shared" si="2"/>
        <v>2.8960773731122212E-3</v>
      </c>
      <c r="P24" s="706">
        <f>'CBS (Total)'!P22/'CBS ($ per kW)'!P$1</f>
        <v>15.340610294721362</v>
      </c>
      <c r="Q24" s="708">
        <f t="shared" si="3"/>
        <v>2.9679118581835955E-3</v>
      </c>
      <c r="R24" s="105"/>
    </row>
    <row r="25" spans="1:27" s="60" customFormat="1" outlineLevel="1" x14ac:dyDescent="0.35">
      <c r="A25" s="83" t="s">
        <v>26</v>
      </c>
      <c r="D25" s="60" t="s">
        <v>17</v>
      </c>
      <c r="I25" s="78"/>
      <c r="J25" s="711">
        <f>'CBS (Total)'!J23/'CBS ($ per kW)'!J$1</f>
        <v>0</v>
      </c>
      <c r="K25" s="707">
        <f t="shared" si="0"/>
        <v>0</v>
      </c>
      <c r="L25" s="711">
        <f>'CBS (Total)'!L23/'CBS ($ per kW)'!L$1</f>
        <v>0</v>
      </c>
      <c r="M25" s="707">
        <f t="shared" si="1"/>
        <v>0</v>
      </c>
      <c r="N25" s="711">
        <f>'CBS (Total)'!N23/'CBS ($ per kW)'!N$1</f>
        <v>0</v>
      </c>
      <c r="O25" s="707">
        <f t="shared" si="2"/>
        <v>0</v>
      </c>
      <c r="P25" s="706">
        <f>'CBS (Total)'!P23/'CBS ($ per kW)'!P$1</f>
        <v>0</v>
      </c>
      <c r="Q25" s="708">
        <f t="shared" si="3"/>
        <v>0</v>
      </c>
      <c r="R25" s="91"/>
      <c r="S25" s="91"/>
      <c r="T25" s="91"/>
      <c r="U25" s="91"/>
    </row>
    <row r="26" spans="1:27" s="59" customFormat="1" x14ac:dyDescent="0.35">
      <c r="A26" s="72">
        <v>1.4</v>
      </c>
      <c r="C26" s="59" t="s">
        <v>27</v>
      </c>
      <c r="I26" s="118" t="e">
        <f>SUM(I27:I30)</f>
        <v>#REF!</v>
      </c>
      <c r="J26" s="710">
        <f>'CBS (Total)'!J24/'CBS ($ per kW)'!J$1</f>
        <v>896.26126846968327</v>
      </c>
      <c r="K26" s="88">
        <f t="shared" si="0"/>
        <v>2.1181669739828348E-2</v>
      </c>
      <c r="L26" s="710">
        <f>'CBS (Total)'!L24/'CBS ($ per kW)'!L$1</f>
        <v>623.48396018825042</v>
      </c>
      <c r="M26" s="88">
        <f t="shared" si="1"/>
        <v>5.7369460807082273E-2</v>
      </c>
      <c r="N26" s="710">
        <f>'CBS (Total)'!N24/'CBS ($ per kW)'!N$1</f>
        <v>548.71845688161011</v>
      </c>
      <c r="O26" s="88">
        <f t="shared" si="2"/>
        <v>9.633853551377608E-2</v>
      </c>
      <c r="P26" s="705">
        <f>'CBS (Total)'!P24/'CBS ($ per kW)'!P$1</f>
        <v>531.68540082285426</v>
      </c>
      <c r="Q26" s="94">
        <f t="shared" si="3"/>
        <v>0.10286392624602612</v>
      </c>
      <c r="R26" s="97"/>
      <c r="S26" s="97"/>
      <c r="T26" s="97"/>
      <c r="U26" s="97"/>
      <c r="V26" s="98"/>
      <c r="W26" s="97"/>
      <c r="X26" s="97"/>
      <c r="Y26" s="97"/>
    </row>
    <row r="27" spans="1:27" s="60" customFormat="1" outlineLevel="1" x14ac:dyDescent="0.35">
      <c r="A27" s="83" t="s">
        <v>28</v>
      </c>
      <c r="D27" s="60" t="s">
        <v>270</v>
      </c>
      <c r="I27" s="712">
        <f>'1.4'!E22</f>
        <v>205.44</v>
      </c>
      <c r="J27" s="711">
        <f>'CBS (Total)'!J25/'CBS ($ per kW)'!J$1</f>
        <v>814.78297133607566</v>
      </c>
      <c r="K27" s="707">
        <f t="shared" si="0"/>
        <v>1.925606339984395E-2</v>
      </c>
      <c r="L27" s="711">
        <f>'CBS (Total)'!L25/'CBS ($ per kW)'!L$1</f>
        <v>566.80360017113674</v>
      </c>
      <c r="M27" s="707">
        <f t="shared" si="1"/>
        <v>5.2154055279165702E-2</v>
      </c>
      <c r="N27" s="711">
        <f>'CBS (Total)'!N25/'CBS ($ per kW)'!N$1</f>
        <v>498.83496080146381</v>
      </c>
      <c r="O27" s="707">
        <f t="shared" si="2"/>
        <v>8.7580486830705545E-2</v>
      </c>
      <c r="P27" s="706">
        <f>'CBS (Total)'!P25/'CBS ($ per kW)'!P$1</f>
        <v>483.35036438441301</v>
      </c>
      <c r="Q27" s="708">
        <f t="shared" si="3"/>
        <v>9.351266022366013E-2</v>
      </c>
      <c r="R27" s="153"/>
      <c r="S27" s="153"/>
      <c r="T27" s="153"/>
      <c r="U27" s="153"/>
      <c r="V27" s="91"/>
      <c r="W27" s="91"/>
      <c r="X27" s="91"/>
      <c r="Y27" s="91"/>
      <c r="AA27" s="105"/>
    </row>
    <row r="28" spans="1:27" s="60" customFormat="1" outlineLevel="1" x14ac:dyDescent="0.35">
      <c r="A28" s="83" t="s">
        <v>29</v>
      </c>
      <c r="D28" s="60" t="s">
        <v>271</v>
      </c>
      <c r="I28" s="712" t="e">
        <f>'1.4'!#REF!</f>
        <v>#REF!</v>
      </c>
      <c r="J28" s="711">
        <f>'CBS (Total)'!J26/'CBS ($ per kW)'!J$1</f>
        <v>0</v>
      </c>
      <c r="K28" s="707">
        <f t="shared" si="0"/>
        <v>0</v>
      </c>
      <c r="L28" s="711">
        <f>'CBS (Total)'!L26/'CBS ($ per kW)'!L$1</f>
        <v>0</v>
      </c>
      <c r="M28" s="707">
        <f t="shared" si="1"/>
        <v>0</v>
      </c>
      <c r="N28" s="711">
        <f>'CBS (Total)'!N26/'CBS ($ per kW)'!N$1</f>
        <v>0</v>
      </c>
      <c r="O28" s="707">
        <f t="shared" si="2"/>
        <v>0</v>
      </c>
      <c r="P28" s="706">
        <f>'CBS (Total)'!P26/'CBS ($ per kW)'!P$1</f>
        <v>0</v>
      </c>
      <c r="Q28" s="708">
        <f t="shared" si="3"/>
        <v>0</v>
      </c>
      <c r="R28" s="153"/>
      <c r="S28" s="153"/>
      <c r="T28" s="153"/>
      <c r="U28" s="153"/>
      <c r="V28" s="91"/>
      <c r="W28" s="91"/>
      <c r="X28" s="91"/>
      <c r="Y28" s="91"/>
    </row>
    <row r="29" spans="1:27" s="60" customFormat="1" outlineLevel="1" x14ac:dyDescent="0.35">
      <c r="A29" s="83" t="s">
        <v>30</v>
      </c>
      <c r="D29" s="60" t="s">
        <v>272</v>
      </c>
      <c r="I29" s="712" t="e">
        <f>'1.4'!#REF!</f>
        <v>#REF!</v>
      </c>
      <c r="J29" s="711">
        <f>'CBS (Total)'!J27/'CBS ($ per kW)'!J$1</f>
        <v>0</v>
      </c>
      <c r="K29" s="707">
        <f t="shared" si="0"/>
        <v>0</v>
      </c>
      <c r="L29" s="711">
        <f>'CBS (Total)'!L27/'CBS ($ per kW)'!L$1</f>
        <v>0</v>
      </c>
      <c r="M29" s="707">
        <f t="shared" si="1"/>
        <v>0</v>
      </c>
      <c r="N29" s="711">
        <f>'CBS (Total)'!N27/'CBS ($ per kW)'!N$1</f>
        <v>0</v>
      </c>
      <c r="O29" s="707">
        <f t="shared" si="2"/>
        <v>0</v>
      </c>
      <c r="P29" s="706">
        <f>'CBS (Total)'!P27/'CBS ($ per kW)'!P$1</f>
        <v>0</v>
      </c>
      <c r="Q29" s="708">
        <f t="shared" si="3"/>
        <v>0</v>
      </c>
      <c r="R29" s="153"/>
      <c r="S29" s="153"/>
      <c r="T29" s="153"/>
      <c r="U29" s="153"/>
      <c r="V29" s="91"/>
      <c r="W29" s="91"/>
      <c r="X29" s="91"/>
      <c r="Y29" s="91"/>
    </row>
    <row r="30" spans="1:27" s="60" customFormat="1" outlineLevel="1" x14ac:dyDescent="0.35">
      <c r="A30" s="83" t="s">
        <v>31</v>
      </c>
      <c r="D30" s="60" t="s">
        <v>63</v>
      </c>
      <c r="I30" s="712">
        <f>'1.4'!E36</f>
        <v>12.429119999999999</v>
      </c>
      <c r="J30" s="711">
        <f>'CBS (Total)'!J28/'CBS ($ per kW)'!J$1</f>
        <v>81.478297133607569</v>
      </c>
      <c r="K30" s="707">
        <f t="shared" si="0"/>
        <v>1.9256063399843951E-3</v>
      </c>
      <c r="L30" s="711">
        <f>'CBS (Total)'!L28/'CBS ($ per kW)'!L$1</f>
        <v>56.680360017113671</v>
      </c>
      <c r="M30" s="707">
        <f t="shared" si="1"/>
        <v>5.21540552791657E-3</v>
      </c>
      <c r="N30" s="711">
        <f>'CBS (Total)'!N28/'CBS ($ per kW)'!N$1</f>
        <v>49.883496080146379</v>
      </c>
      <c r="O30" s="707">
        <f t="shared" si="2"/>
        <v>8.7580486830705542E-3</v>
      </c>
      <c r="P30" s="706">
        <f>'CBS (Total)'!P28/'CBS ($ per kW)'!P$1</f>
        <v>48.335036438441307</v>
      </c>
      <c r="Q30" s="708">
        <f t="shared" si="3"/>
        <v>9.351266022366014E-3</v>
      </c>
    </row>
    <row r="31" spans="1:27" s="59" customFormat="1" x14ac:dyDescent="0.35">
      <c r="A31" s="72">
        <v>1.5</v>
      </c>
      <c r="C31" s="59" t="s">
        <v>32</v>
      </c>
      <c r="I31" s="118">
        <f>SUM(I32:I44)</f>
        <v>14.467329868480727</v>
      </c>
      <c r="J31" s="710">
        <f>'CBS (Total)'!J29/'CBS ($ per kW)'!J$1</f>
        <v>1953.8110843373495</v>
      </c>
      <c r="K31" s="88">
        <f t="shared" si="0"/>
        <v>4.617513059904086E-2</v>
      </c>
      <c r="L31" s="710">
        <f>'CBS (Total)'!L29/'CBS ($ per kW)'!L$1</f>
        <v>1527.0645614754189</v>
      </c>
      <c r="M31" s="88">
        <f t="shared" si="1"/>
        <v>0.14051182725373867</v>
      </c>
      <c r="N31" s="710">
        <f>'CBS (Total)'!N29/'CBS ($ per kW)'!N$1</f>
        <v>1333.9285178354107</v>
      </c>
      <c r="O31" s="88">
        <f t="shared" si="2"/>
        <v>0.23419791748694921</v>
      </c>
      <c r="P31" s="705">
        <f>'CBS (Total)'!P29/'CBS ($ per kW)'!P$1</f>
        <v>1267.6576423664005</v>
      </c>
      <c r="Q31" s="94">
        <f t="shared" si="3"/>
        <v>0.24525074795693688</v>
      </c>
    </row>
    <row r="32" spans="1:27" s="60" customFormat="1" outlineLevel="1" x14ac:dyDescent="0.35">
      <c r="A32" s="83" t="s">
        <v>33</v>
      </c>
      <c r="D32" s="60" t="s">
        <v>34</v>
      </c>
      <c r="I32" s="712">
        <f>'1.5'!L4/1000</f>
        <v>2.407</v>
      </c>
      <c r="J32" s="711">
        <f>'CBS (Total)'!J30/'CBS ($ per kW)'!J$1</f>
        <v>90</v>
      </c>
      <c r="K32" s="707">
        <f t="shared" si="0"/>
        <v>2.1270028546916228E-3</v>
      </c>
      <c r="L32" s="711">
        <f>'CBS (Total)'!L30/'CBS ($ per kW)'!L$1</f>
        <v>79.406231810542764</v>
      </c>
      <c r="M32" s="707">
        <f t="shared" si="1"/>
        <v>7.3065114655356473E-3</v>
      </c>
      <c r="N32" s="711">
        <f>'CBS (Total)'!N30/'CBS ($ per kW)'!N$1</f>
        <v>72.751015702299952</v>
      </c>
      <c r="O32" s="707">
        <f t="shared" si="2"/>
        <v>1.2772900605039222E-2</v>
      </c>
      <c r="P32" s="706">
        <f>'CBS (Total)'!P30/'CBS ($ per kW)'!P$1</f>
        <v>70.059440559440617</v>
      </c>
      <c r="Q32" s="708">
        <f t="shared" si="3"/>
        <v>1.3554235484726477E-2</v>
      </c>
    </row>
    <row r="33" spans="1:18" s="60" customFormat="1" outlineLevel="1" x14ac:dyDescent="0.35">
      <c r="A33" s="83" t="s">
        <v>35</v>
      </c>
      <c r="D33" s="60" t="s">
        <v>329</v>
      </c>
      <c r="I33" s="712">
        <f>'1.5'!L5/1000</f>
        <v>9.2350098684807254</v>
      </c>
      <c r="J33" s="711">
        <f>'CBS (Total)'!J31/'CBS ($ per kW)'!J$1</f>
        <v>402.59000000000003</v>
      </c>
      <c r="K33" s="707">
        <f t="shared" si="0"/>
        <v>9.5145564363366721E-3</v>
      </c>
      <c r="L33" s="711">
        <f>'CBS (Total)'!L31/'CBS ($ per kW)'!L$1</f>
        <v>367.13980511992463</v>
      </c>
      <c r="M33" s="707">
        <f t="shared" si="1"/>
        <v>3.3782124329530212E-2</v>
      </c>
      <c r="N33" s="711">
        <f>'CBS (Total)'!N31/'CBS ($ per kW)'!N$1</f>
        <v>344.23153086651325</v>
      </c>
      <c r="O33" s="707">
        <f t="shared" si="2"/>
        <v>6.043675248288613E-2</v>
      </c>
      <c r="P33" s="706">
        <f>'CBS (Total)'!P31/'CBS ($ per kW)'!P$1</f>
        <v>334.81118881118823</v>
      </c>
      <c r="Q33" s="708">
        <f t="shared" si="3"/>
        <v>6.4775134654662128E-2</v>
      </c>
    </row>
    <row r="34" spans="1:18" s="60" customFormat="1" outlineLevel="1" x14ac:dyDescent="0.35">
      <c r="A34" s="83" t="s">
        <v>36</v>
      </c>
      <c r="D34" s="60" t="s">
        <v>328</v>
      </c>
      <c r="I34" s="712">
        <f>'1.5'!L6/1000</f>
        <v>1.5006400000000002</v>
      </c>
      <c r="J34" s="711">
        <f>'CBS (Total)'!J32/'CBS ($ per kW)'!J$1</f>
        <v>198</v>
      </c>
      <c r="K34" s="707">
        <f t="shared" si="0"/>
        <v>4.6794062803215703E-3</v>
      </c>
      <c r="L34" s="711">
        <f>'CBS (Total)'!L32/'CBS ($ per kW)'!L$1</f>
        <v>127.42056348958828</v>
      </c>
      <c r="M34" s="707">
        <f t="shared" si="1"/>
        <v>1.1724518175134976E-2</v>
      </c>
      <c r="N34" s="711">
        <f>'CBS (Total)'!N32/'CBS ($ per kW)'!N$1</f>
        <v>93.635109062722506</v>
      </c>
      <c r="O34" s="707">
        <f t="shared" si="2"/>
        <v>1.6439522247967072E-2</v>
      </c>
      <c r="P34" s="706">
        <f>'CBS (Total)'!P32/'CBS ($ per kW)'!P$1</f>
        <v>82.000000000021188</v>
      </c>
      <c r="Q34" s="708">
        <f t="shared" si="3"/>
        <v>1.5864347486544254E-2</v>
      </c>
    </row>
    <row r="35" spans="1:18" s="60" customFormat="1" outlineLevel="1" x14ac:dyDescent="0.35">
      <c r="A35" s="83" t="s">
        <v>37</v>
      </c>
      <c r="D35" s="60" t="s">
        <v>39</v>
      </c>
      <c r="I35" s="712">
        <f>'1.5'!L7/1000</f>
        <v>1.3246800000000001</v>
      </c>
      <c r="J35" s="711">
        <f>'CBS (Total)'!J33/'CBS ($ per kW)'!J$1</f>
        <v>300</v>
      </c>
      <c r="K35" s="707">
        <f t="shared" si="0"/>
        <v>7.0900095156387422E-3</v>
      </c>
      <c r="L35" s="711">
        <f>'CBS (Total)'!L33/'CBS ($ per kW)'!L$1</f>
        <v>142.30249470771335</v>
      </c>
      <c r="M35" s="707">
        <f t="shared" si="1"/>
        <v>1.30938691516928E-2</v>
      </c>
      <c r="N35" s="711">
        <f>'CBS (Total)'!N33/'CBS ($ per kW)'!N$1</f>
        <v>84.490916236464429</v>
      </c>
      <c r="O35" s="707">
        <f t="shared" si="2"/>
        <v>1.4834075712882961E-2</v>
      </c>
      <c r="P35" s="706">
        <f>'CBS (Total)'!P33/'CBS ($ per kW)'!P$1</f>
        <v>67.50000000012929</v>
      </c>
      <c r="Q35" s="708">
        <f t="shared" si="3"/>
        <v>1.3059066528579409E-2</v>
      </c>
    </row>
    <row r="36" spans="1:18" s="60" customFormat="1" outlineLevel="1" x14ac:dyDescent="0.35">
      <c r="A36" s="83" t="s">
        <v>40</v>
      </c>
      <c r="D36" s="60" t="s">
        <v>41</v>
      </c>
      <c r="I36" s="712">
        <f>'1.5'!L8/1000</f>
        <v>0</v>
      </c>
      <c r="J36" s="711">
        <f>'CBS (Total)'!J34/'CBS ($ per kW)'!J$1</f>
        <v>200</v>
      </c>
      <c r="K36" s="707">
        <f t="shared" si="0"/>
        <v>4.7266730104258284E-3</v>
      </c>
      <c r="L36" s="711">
        <f>'CBS (Total)'!L34/'CBS ($ per kW)'!L$1</f>
        <v>173.2050807567893</v>
      </c>
      <c r="M36" s="707">
        <f t="shared" si="1"/>
        <v>1.5937349998649413E-2</v>
      </c>
      <c r="N36" s="711">
        <f>'CBS (Total)'!N34/'CBS ($ per kW)'!N$1</f>
        <v>156.63774155326675</v>
      </c>
      <c r="O36" s="707">
        <f t="shared" si="2"/>
        <v>2.7500898572257973E-2</v>
      </c>
      <c r="P36" s="706">
        <f>'CBS (Total)'!P34/'CBS ($ per kW)'!P$1</f>
        <v>149.99999999982953</v>
      </c>
      <c r="Q36" s="708">
        <f t="shared" si="3"/>
        <v>2.9020147841199009E-2</v>
      </c>
    </row>
    <row r="37" spans="1:18" s="60" customFormat="1" outlineLevel="1" x14ac:dyDescent="0.35">
      <c r="A37" s="83" t="s">
        <v>42</v>
      </c>
      <c r="D37" s="60" t="s">
        <v>43</v>
      </c>
      <c r="I37" s="712">
        <f>'1.5'!L9/1000</f>
        <v>0</v>
      </c>
      <c r="J37" s="711">
        <f>'CBS (Total)'!J35/'CBS ($ per kW)'!J$1</f>
        <v>265.06024096385545</v>
      </c>
      <c r="K37" s="707">
        <f t="shared" si="0"/>
        <v>6.2642654355041108E-3</v>
      </c>
      <c r="L37" s="711">
        <f>'CBS (Total)'!L35/'CBS ($ per kW)'!L$1</f>
        <v>265.06024096385545</v>
      </c>
      <c r="M37" s="707">
        <f t="shared" si="1"/>
        <v>2.4389341308636691E-2</v>
      </c>
      <c r="N37" s="711">
        <f>'CBS (Total)'!N35/'CBS ($ per kW)'!N$1</f>
        <v>265.06024096385545</v>
      </c>
      <c r="O37" s="707">
        <f t="shared" si="2"/>
        <v>4.6536643914815323E-2</v>
      </c>
      <c r="P37" s="706">
        <f>'CBS (Total)'!P35/'CBS ($ per kW)'!P$1</f>
        <v>265.06024096385545</v>
      </c>
      <c r="Q37" s="708">
        <f t="shared" si="3"/>
        <v>5.1280582530691073E-2</v>
      </c>
    </row>
    <row r="38" spans="1:18" s="60" customFormat="1" outlineLevel="1" x14ac:dyDescent="0.35">
      <c r="A38" s="83" t="s">
        <v>44</v>
      </c>
      <c r="D38" s="60" t="s">
        <v>45</v>
      </c>
      <c r="I38" s="712">
        <f>'1.5'!L10/1000</f>
        <v>0</v>
      </c>
      <c r="J38" s="711">
        <f>'CBS (Total)'!J36/'CBS ($ per kW)'!J$1</f>
        <v>0</v>
      </c>
      <c r="K38" s="707">
        <f t="shared" ref="K38:K54" si="4">J38/$J$56</f>
        <v>0</v>
      </c>
      <c r="L38" s="711">
        <f>'CBS (Total)'!L36/'CBS ($ per kW)'!L$1</f>
        <v>0</v>
      </c>
      <c r="M38" s="707">
        <f t="shared" ref="M38:M54" si="5">L38/$L$56</f>
        <v>0</v>
      </c>
      <c r="N38" s="711">
        <f>'CBS (Total)'!N36/'CBS ($ per kW)'!N$1</f>
        <v>0</v>
      </c>
      <c r="O38" s="707">
        <f t="shared" ref="O38:O54" si="6">N38/$N$56</f>
        <v>0</v>
      </c>
      <c r="P38" s="706">
        <f>'CBS (Total)'!P36/'CBS ($ per kW)'!P$1</f>
        <v>0</v>
      </c>
      <c r="Q38" s="708">
        <f t="shared" ref="Q38:Q54" si="7">P38/$P$56</f>
        <v>0</v>
      </c>
    </row>
    <row r="39" spans="1:18" s="60" customFormat="1" outlineLevel="1" x14ac:dyDescent="0.35">
      <c r="A39" s="83" t="s">
        <v>46</v>
      </c>
      <c r="D39" s="60" t="s">
        <v>60</v>
      </c>
      <c r="I39" s="712">
        <f>'1.5'!L11/1000</f>
        <v>0</v>
      </c>
      <c r="J39" s="711">
        <f>'CBS (Total)'!J37/'CBS ($ per kW)'!J$1</f>
        <v>0</v>
      </c>
      <c r="K39" s="707">
        <f t="shared" si="4"/>
        <v>0</v>
      </c>
      <c r="L39" s="711">
        <f>'CBS (Total)'!L37/'CBS ($ per kW)'!L$1</f>
        <v>0</v>
      </c>
      <c r="M39" s="707">
        <f t="shared" si="5"/>
        <v>0</v>
      </c>
      <c r="N39" s="711">
        <f>'CBS (Total)'!N37/'CBS ($ per kW)'!N$1</f>
        <v>0</v>
      </c>
      <c r="O39" s="707">
        <f t="shared" si="6"/>
        <v>0</v>
      </c>
      <c r="P39" s="706">
        <f>'CBS (Total)'!P37/'CBS ($ per kW)'!P$1</f>
        <v>0</v>
      </c>
      <c r="Q39" s="708">
        <f t="shared" si="7"/>
        <v>0</v>
      </c>
    </row>
    <row r="40" spans="1:18" s="60" customFormat="1" outlineLevel="1" x14ac:dyDescent="0.35">
      <c r="A40" s="83" t="s">
        <v>61</v>
      </c>
      <c r="D40" s="60" t="s">
        <v>62</v>
      </c>
      <c r="I40" s="712">
        <f>'1.5'!L12/1000</f>
        <v>0</v>
      </c>
      <c r="J40" s="711">
        <f>'CBS (Total)'!J38/'CBS ($ per kW)'!J$1</f>
        <v>52.25</v>
      </c>
      <c r="K40" s="707">
        <f t="shared" si="4"/>
        <v>1.2348433239737476E-3</v>
      </c>
      <c r="L40" s="711">
        <f>'CBS (Total)'!L38/'CBS ($ per kW)'!L$1</f>
        <v>49.180963448943523</v>
      </c>
      <c r="M40" s="707">
        <f t="shared" si="5"/>
        <v>4.5253535539018707E-3</v>
      </c>
      <c r="N40" s="711">
        <f>'CBS (Total)'!N38/'CBS ($ per kW)'!N$1</f>
        <v>47.143478756488065</v>
      </c>
      <c r="O40" s="707">
        <f t="shared" si="6"/>
        <v>8.2769836615953028E-3</v>
      </c>
      <c r="P40" s="706">
        <f>'CBS (Total)'!P38/'CBS ($ per kW)'!P$1</f>
        <v>46.29219456012094</v>
      </c>
      <c r="Q40" s="708">
        <f t="shared" si="7"/>
        <v>8.9560422001985669E-3</v>
      </c>
      <c r="R40" s="153"/>
    </row>
    <row r="41" spans="1:18" s="60" customFormat="1" outlineLevel="1" x14ac:dyDescent="0.35">
      <c r="A41" s="83" t="s">
        <v>67</v>
      </c>
      <c r="D41" s="60" t="s">
        <v>64</v>
      </c>
      <c r="I41" s="712">
        <f>'1.5'!L13/1000</f>
        <v>0</v>
      </c>
      <c r="J41" s="711">
        <f>'CBS (Total)'!J39/'CBS ($ per kW)'!J$1</f>
        <v>93.110843373493978</v>
      </c>
      <c r="K41" s="707">
        <f t="shared" si="4"/>
        <v>2.2005225517574027E-3</v>
      </c>
      <c r="L41" s="711">
        <f>'CBS (Total)'!L39/'CBS ($ per kW)'!L$1</f>
        <v>80.636382483140736</v>
      </c>
      <c r="M41" s="707">
        <f t="shared" si="5"/>
        <v>7.4197029593105748E-3</v>
      </c>
      <c r="N41" s="711">
        <f>'CBS (Total)'!N39/'CBS ($ per kW)'!N$1</f>
        <v>72.923402207116723</v>
      </c>
      <c r="O41" s="707">
        <f t="shared" si="6"/>
        <v>1.280316651501201E-2</v>
      </c>
      <c r="P41" s="706">
        <f>'CBS (Total)'!P39/'CBS ($ per kW)'!P$1</f>
        <v>69.833178869244009</v>
      </c>
      <c r="Q41" s="708">
        <f t="shared" si="7"/>
        <v>1.3510461166724393E-2</v>
      </c>
    </row>
    <row r="42" spans="1:18" s="60" customFormat="1" outlineLevel="1" x14ac:dyDescent="0.35">
      <c r="A42" s="83" t="s">
        <v>68</v>
      </c>
      <c r="D42" s="60" t="s">
        <v>65</v>
      </c>
      <c r="I42" s="712">
        <f>'1.5'!L14/1000</f>
        <v>0</v>
      </c>
      <c r="J42" s="711">
        <f>'CBS (Total)'!J40/'CBS ($ per kW)'!J$1</f>
        <v>202.8</v>
      </c>
      <c r="K42" s="707">
        <f t="shared" si="4"/>
        <v>4.7928464325717899E-3</v>
      </c>
      <c r="L42" s="711">
        <f>'CBS (Total)'!L40/'CBS ($ per kW)'!L$1</f>
        <v>175.63075936842068</v>
      </c>
      <c r="M42" s="707">
        <f t="shared" si="5"/>
        <v>1.6160547198459569E-2</v>
      </c>
      <c r="N42" s="711">
        <f>'CBS (Total)'!N40/'CBS ($ per kW)'!N$1</f>
        <v>158.83191060000004</v>
      </c>
      <c r="O42" s="707">
        <f t="shared" si="6"/>
        <v>2.7886128975902934E-2</v>
      </c>
      <c r="P42" s="706">
        <f>'CBS (Total)'!P40/'CBS ($ per kW)'!P$1</f>
        <v>152.10139860122337</v>
      </c>
      <c r="Q42" s="708">
        <f t="shared" si="7"/>
        <v>2.9426700495104392E-2</v>
      </c>
    </row>
    <row r="43" spans="1:18" s="60" customFormat="1" outlineLevel="1" x14ac:dyDescent="0.35">
      <c r="A43" s="83" t="s">
        <v>69</v>
      </c>
      <c r="D43" s="60" t="s">
        <v>134</v>
      </c>
      <c r="I43" s="712">
        <f>'1.5'!L15/1000</f>
        <v>0</v>
      </c>
      <c r="J43" s="711">
        <f>'CBS (Total)'!J41/'CBS ($ per kW)'!J$1</f>
        <v>100</v>
      </c>
      <c r="K43" s="707">
        <f t="shared" si="4"/>
        <v>2.3633365052129142E-3</v>
      </c>
      <c r="L43" s="711">
        <f>'CBS (Total)'!L41/'CBS ($ per kW)'!L$1</f>
        <v>44.721359551000418</v>
      </c>
      <c r="M43" s="707">
        <f t="shared" si="5"/>
        <v>4.115006075257977E-3</v>
      </c>
      <c r="N43" s="711">
        <f>'CBS (Total)'!N41/'CBS ($ per kW)'!N$1</f>
        <v>25.482114591122443</v>
      </c>
      <c r="O43" s="707">
        <f t="shared" si="6"/>
        <v>4.4738965323935249E-3</v>
      </c>
      <c r="P43" s="706">
        <f>'CBS (Total)'!P41/'CBS ($ per kW)'!P$1</f>
        <v>20.000000000898556</v>
      </c>
      <c r="Q43" s="708">
        <f t="shared" si="7"/>
        <v>3.86935304567144E-3</v>
      </c>
    </row>
    <row r="44" spans="1:18" s="60" customFormat="1" outlineLevel="1" x14ac:dyDescent="0.35">
      <c r="A44" s="83" t="s">
        <v>70</v>
      </c>
      <c r="D44" s="60" t="s">
        <v>17</v>
      </c>
      <c r="I44" s="712">
        <f>'1.5'!L16/1000</f>
        <v>0</v>
      </c>
      <c r="J44" s="711">
        <f>'CBS (Total)'!J42/'CBS ($ per kW)'!J$1</f>
        <v>50</v>
      </c>
      <c r="K44" s="707">
        <f t="shared" si="4"/>
        <v>1.1816682526064571E-3</v>
      </c>
      <c r="L44" s="711">
        <f>'CBS (Total)'!L42/'CBS ($ per kW)'!L$1</f>
        <v>22.360679775500209</v>
      </c>
      <c r="M44" s="707">
        <f t="shared" si="5"/>
        <v>2.0575030376289885E-3</v>
      </c>
      <c r="N44" s="711">
        <f>'CBS (Total)'!N42/'CBS ($ per kW)'!N$1</f>
        <v>12.741057295561221</v>
      </c>
      <c r="O44" s="707">
        <f t="shared" si="6"/>
        <v>2.2369482661967624E-3</v>
      </c>
      <c r="P44" s="706">
        <f>'CBS (Total)'!P42/'CBS ($ per kW)'!P$1</f>
        <v>10.000000000449278</v>
      </c>
      <c r="Q44" s="708">
        <f t="shared" si="7"/>
        <v>1.93467652283572E-3</v>
      </c>
    </row>
    <row r="45" spans="1:18" s="60" customFormat="1" outlineLevel="1" x14ac:dyDescent="0.35">
      <c r="A45" s="72">
        <v>1.6</v>
      </c>
      <c r="B45" s="486"/>
      <c r="C45" s="486" t="s">
        <v>72</v>
      </c>
      <c r="I45" s="720"/>
      <c r="J45" s="731">
        <f>'CBS (Total)'!J43/'CBS ($ per kW)'!J$1</f>
        <v>855.02170584210967</v>
      </c>
      <c r="K45" s="728">
        <f t="shared" si="4"/>
        <v>2.0207040101660759E-2</v>
      </c>
      <c r="L45" s="731">
        <f>'CBS (Total)'!L43/'CBS ($ per kW)'!L$1</f>
        <v>430.10970433273394</v>
      </c>
      <c r="M45" s="728">
        <f t="shared" si="5"/>
        <v>3.9576257612164198E-2</v>
      </c>
      <c r="N45" s="731">
        <f>'CBS (Total)'!N43/'CBS ($ per kW)'!N$1</f>
        <v>376.52939494340421</v>
      </c>
      <c r="O45" s="728">
        <f t="shared" si="6"/>
        <v>6.6107290600145058E-2</v>
      </c>
      <c r="P45" s="729">
        <f>'CBS (Total)'!P43/'CBS ($ per kW)'!P$1</f>
        <v>359.86860863785097</v>
      </c>
      <c r="Q45" s="730">
        <f t="shared" si="7"/>
        <v>6.9622934840592607E-2</v>
      </c>
    </row>
    <row r="46" spans="1:18" s="59" customFormat="1" x14ac:dyDescent="0.35">
      <c r="A46" s="72">
        <v>1.7</v>
      </c>
      <c r="C46" s="59" t="s">
        <v>47</v>
      </c>
      <c r="I46" s="81"/>
      <c r="J46" s="710">
        <f>'CBS (Total)'!J44/'CBS ($ per kW)'!J$1</f>
        <v>18239.238945783134</v>
      </c>
      <c r="K46" s="88">
        <f t="shared" si="4"/>
        <v>0.43105459227870391</v>
      </c>
      <c r="L46" s="710">
        <f>'CBS (Total)'!L44/'CBS ($ per kW)'!L$1</f>
        <v>3178.0190227576973</v>
      </c>
      <c r="M46" s="88">
        <f t="shared" si="5"/>
        <v>0.29242330101837877</v>
      </c>
      <c r="N46" s="710">
        <f>'CBS (Total)'!N44/'CBS ($ per kW)'!N$1</f>
        <v>1739.5467095046854</v>
      </c>
      <c r="O46" s="88">
        <f t="shared" si="6"/>
        <v>0.30541233003876739</v>
      </c>
      <c r="P46" s="705">
        <f>'CBS (Total)'!P44/'CBS ($ per kW)'!P$1</f>
        <v>1582.8340558902275</v>
      </c>
      <c r="Q46" s="94">
        <f t="shared" si="7"/>
        <v>0.30622718873380839</v>
      </c>
    </row>
    <row r="47" spans="1:18" s="59" customFormat="1" x14ac:dyDescent="0.35">
      <c r="A47" s="727" t="s">
        <v>73</v>
      </c>
      <c r="D47" s="726" t="s">
        <v>48</v>
      </c>
      <c r="I47" s="81"/>
      <c r="J47" s="711">
        <f>'CBS (Total)'!J45/'CBS ($ per kW)'!J$1</f>
        <v>89.608433734939766</v>
      </c>
      <c r="K47" s="707">
        <f t="shared" si="4"/>
        <v>2.1177488262073556E-3</v>
      </c>
      <c r="L47" s="711">
        <f>'CBS (Total)'!L45/'CBS ($ per kW)'!L$1</f>
        <v>89.608433734939766</v>
      </c>
      <c r="M47" s="707">
        <f t="shared" si="5"/>
        <v>8.2452602719538803E-3</v>
      </c>
      <c r="N47" s="711">
        <f>'CBS (Total)'!N45/'CBS ($ per kW)'!N$1</f>
        <v>89.608433734939766</v>
      </c>
      <c r="O47" s="707">
        <f t="shared" si="6"/>
        <v>1.5732558596201769E-2</v>
      </c>
      <c r="P47" s="706">
        <f>'CBS (Total)'!P45/'CBS ($ per kW)'!P$1</f>
        <v>89.608433734939766</v>
      </c>
      <c r="Q47" s="708">
        <f t="shared" si="7"/>
        <v>1.7336333298727948E-2</v>
      </c>
    </row>
    <row r="48" spans="1:18" s="60" customFormat="1" outlineLevel="1" x14ac:dyDescent="0.35">
      <c r="A48" s="83" t="s">
        <v>74</v>
      </c>
      <c r="D48" s="60" t="s">
        <v>49</v>
      </c>
      <c r="I48" s="78"/>
      <c r="J48" s="711">
        <f>'CBS (Total)'!J46/'CBS ($ per kW)'!J$1</f>
        <v>2009.0361445783133</v>
      </c>
      <c r="K48" s="707">
        <f t="shared" si="4"/>
        <v>4.7480284607741376E-2</v>
      </c>
      <c r="L48" s="711">
        <f>'CBS (Total)'!L46/'CBS ($ per kW)'!L$1</f>
        <v>231.0843373493976</v>
      </c>
      <c r="M48" s="707">
        <f t="shared" si="5"/>
        <v>2.1263071195438712E-2</v>
      </c>
      <c r="N48" s="711">
        <f>'CBS (Total)'!N46/'CBS ($ per kW)'!N$1</f>
        <v>46.216867469879517</v>
      </c>
      <c r="O48" s="707">
        <f t="shared" si="6"/>
        <v>8.1142984571468887E-3</v>
      </c>
      <c r="P48" s="706">
        <f>'CBS (Total)'!P46/'CBS ($ per kW)'!P$1</f>
        <v>46.204819277108435</v>
      </c>
      <c r="Q48" s="708">
        <f t="shared" si="7"/>
        <v>8.9391379093272834E-3</v>
      </c>
    </row>
    <row r="49" spans="1:19" s="60" customFormat="1" outlineLevel="1" x14ac:dyDescent="0.35">
      <c r="A49" s="83" t="s">
        <v>75</v>
      </c>
      <c r="D49" s="60" t="s">
        <v>71</v>
      </c>
      <c r="I49" s="78"/>
      <c r="J49" s="711">
        <f>'CBS (Total)'!J47/'CBS ($ per kW)'!J$1</f>
        <v>9619.9805722891579</v>
      </c>
      <c r="K49" s="707">
        <f t="shared" si="4"/>
        <v>0.22735251265929987</v>
      </c>
      <c r="L49" s="711">
        <f>'CBS (Total)'!L47/'CBS ($ per kW)'!L$1</f>
        <v>1176.0718540829987</v>
      </c>
      <c r="M49" s="707">
        <f t="shared" si="5"/>
        <v>0.10821546735341125</v>
      </c>
      <c r="N49" s="711">
        <f>'CBS (Total)'!N47/'CBS ($ per kW)'!N$1</f>
        <v>425.53980589022757</v>
      </c>
      <c r="O49" s="707">
        <f t="shared" si="6"/>
        <v>7.4712051669015067E-2</v>
      </c>
      <c r="P49" s="706">
        <f>'CBS (Total)'!P47/'CBS ($ per kW)'!P$1</f>
        <v>331.72329986613119</v>
      </c>
      <c r="Q49" s="708">
        <f t="shared" si="7"/>
        <v>6.4177728029976386E-2</v>
      </c>
    </row>
    <row r="50" spans="1:19" s="60" customFormat="1" outlineLevel="1" x14ac:dyDescent="0.35">
      <c r="A50" s="83" t="s">
        <v>76</v>
      </c>
      <c r="D50" s="60" t="s">
        <v>252</v>
      </c>
      <c r="I50" s="78"/>
      <c r="J50" s="711">
        <f>'CBS (Total)'!J48/'CBS ($ per kW)'!J$1</f>
        <v>4540.7643975903611</v>
      </c>
      <c r="K50" s="707">
        <f t="shared" si="4"/>
        <v>0.10731354262396428</v>
      </c>
      <c r="L50" s="711">
        <f>'CBS (Total)'!L48/'CBS ($ per kW)'!L$1</f>
        <v>686.79656626506028</v>
      </c>
      <c r="M50" s="707">
        <f t="shared" si="5"/>
        <v>6.3195128033262563E-2</v>
      </c>
      <c r="N50" s="711">
        <f>'CBS (Total)'!N48/'CBS ($ per kW)'!N$1</f>
        <v>271.31413253012045</v>
      </c>
      <c r="O50" s="707">
        <f t="shared" si="6"/>
        <v>4.7634640067851446E-2</v>
      </c>
      <c r="P50" s="706">
        <f>'CBS (Total)'!P48/'CBS ($ per kW)'!P$1</f>
        <v>219.378828313253</v>
      </c>
      <c r="Q50" s="708">
        <f t="shared" si="7"/>
        <v>4.2442706872579013E-2</v>
      </c>
    </row>
    <row r="51" spans="1:19" s="60" customFormat="1" outlineLevel="1" x14ac:dyDescent="0.35">
      <c r="A51" s="83" t="s">
        <v>77</v>
      </c>
      <c r="D51" s="60" t="s">
        <v>50</v>
      </c>
      <c r="I51" s="78"/>
      <c r="J51" s="711">
        <f>'CBS (Total)'!J49/'CBS ($ per kW)'!J$1</f>
        <v>989.92469879518069</v>
      </c>
      <c r="K51" s="707">
        <f t="shared" si="4"/>
        <v>2.3395251780745491E-2</v>
      </c>
      <c r="L51" s="711">
        <f>'CBS (Total)'!L49/'CBS ($ per kW)'!L$1</f>
        <v>497.22891566265059</v>
      </c>
      <c r="M51" s="707">
        <f t="shared" si="5"/>
        <v>4.5752187082156184E-2</v>
      </c>
      <c r="N51" s="711">
        <f>'CBS (Total)'!N49/'CBS ($ per kW)'!N$1</f>
        <v>453.43373493975906</v>
      </c>
      <c r="O51" s="707">
        <f t="shared" si="6"/>
        <v>7.9609390624276119E-2</v>
      </c>
      <c r="P51" s="706">
        <f>'CBS (Total)'!P49/'CBS ($ per kW)'!P$1</f>
        <v>447.95933734939757</v>
      </c>
      <c r="Q51" s="708">
        <f t="shared" si="7"/>
        <v>8.6665641311598887E-2</v>
      </c>
    </row>
    <row r="52" spans="1:19" s="60" customFormat="1" outlineLevel="1" x14ac:dyDescent="0.35">
      <c r="A52" s="83" t="s">
        <v>78</v>
      </c>
      <c r="D52" s="60" t="s">
        <v>51</v>
      </c>
      <c r="I52" s="78"/>
      <c r="J52" s="711">
        <f>'CBS (Total)'!J50/'CBS ($ per kW)'!J$1</f>
        <v>989.92469879518069</v>
      </c>
      <c r="K52" s="707">
        <f t="shared" si="4"/>
        <v>2.3395251780745491E-2</v>
      </c>
      <c r="L52" s="711">
        <f>'CBS (Total)'!L50/'CBS ($ per kW)'!L$1</f>
        <v>497.22891566265059</v>
      </c>
      <c r="M52" s="707">
        <f t="shared" si="5"/>
        <v>4.5752187082156184E-2</v>
      </c>
      <c r="N52" s="711">
        <f>'CBS (Total)'!N50/'CBS ($ per kW)'!N$1</f>
        <v>453.43373493975906</v>
      </c>
      <c r="O52" s="707">
        <f t="shared" si="6"/>
        <v>7.9609390624276119E-2</v>
      </c>
      <c r="P52" s="706">
        <f>'CBS (Total)'!P50/'CBS ($ per kW)'!P$1</f>
        <v>447.95933734939757</v>
      </c>
      <c r="Q52" s="708">
        <f t="shared" si="7"/>
        <v>8.6665641311598887E-2</v>
      </c>
    </row>
    <row r="53" spans="1:19" s="60" customFormat="1" outlineLevel="1" x14ac:dyDescent="0.35">
      <c r="A53" s="703">
        <v>1.8</v>
      </c>
      <c r="C53" s="486" t="s">
        <v>140</v>
      </c>
      <c r="I53" s="78"/>
      <c r="J53" s="710">
        <f>'CBS (Total)'!J51/'CBS ($ per kW)'!J$1</f>
        <v>18239.238945783134</v>
      </c>
      <c r="K53" s="88">
        <f t="shared" si="4"/>
        <v>0.43105459227870391</v>
      </c>
      <c r="L53" s="710">
        <f>'CBS (Total)'!L51/'CBS ($ per kW)'!L$1</f>
        <v>3178.0190227576973</v>
      </c>
      <c r="M53" s="88">
        <f t="shared" si="5"/>
        <v>0.29242330101837877</v>
      </c>
      <c r="N53" s="710">
        <f>'CBS (Total)'!N51/'CBS ($ per kW)'!N$1</f>
        <v>1739.5467095046854</v>
      </c>
      <c r="O53" s="88">
        <f t="shared" si="6"/>
        <v>0.30541233003876739</v>
      </c>
      <c r="P53" s="705">
        <f>'CBS (Total)'!P51/'CBS ($ per kW)'!P$1</f>
        <v>1582.8340558902275</v>
      </c>
      <c r="Q53" s="94">
        <f t="shared" si="7"/>
        <v>0.30622718873380839</v>
      </c>
    </row>
    <row r="54" spans="1:19" s="81" customFormat="1" x14ac:dyDescent="0.35">
      <c r="A54" s="717">
        <v>1.9</v>
      </c>
      <c r="C54" s="81" t="s">
        <v>138</v>
      </c>
      <c r="J54" s="710">
        <f>'CBS (Total)'!J52/'CBS ($ per kW)'!J$1</f>
        <v>3846.6418433671543</v>
      </c>
      <c r="K54" s="88">
        <f t="shared" si="4"/>
        <v>9.0909090909090925E-2</v>
      </c>
      <c r="L54" s="710">
        <f>'CBS (Total)'!L52/'CBS ($ per kW)'!L$1</f>
        <v>987.98836906824283</v>
      </c>
      <c r="M54" s="88">
        <f t="shared" si="5"/>
        <v>9.0909090909090939E-2</v>
      </c>
      <c r="N54" s="710">
        <f>'CBS (Total)'!N52/'CBS ($ per kW)'!N$1</f>
        <v>517.79379678252644</v>
      </c>
      <c r="O54" s="88">
        <f t="shared" si="6"/>
        <v>9.0909090909090925E-2</v>
      </c>
      <c r="P54" s="705">
        <f>'CBS (Total)'!P52/'CBS ($ per kW)'!P$1</f>
        <v>469.89297611327169</v>
      </c>
      <c r="Q54" s="94">
        <f t="shared" si="7"/>
        <v>9.0909090909090912E-2</v>
      </c>
    </row>
    <row r="55" spans="1:19" s="81" customFormat="1" x14ac:dyDescent="0.35">
      <c r="A55" s="96"/>
      <c r="J55" s="151"/>
      <c r="K55" s="88"/>
      <c r="L55" s="151"/>
      <c r="M55" s="88"/>
      <c r="N55" s="151"/>
      <c r="O55" s="88"/>
      <c r="P55" s="389"/>
      <c r="Q55" s="94"/>
    </row>
    <row r="56" spans="1:19" outlineLevel="1" x14ac:dyDescent="0.35">
      <c r="A56" s="702" t="s">
        <v>484</v>
      </c>
      <c r="B56" s="156"/>
      <c r="C56" s="156"/>
      <c r="D56" s="156"/>
      <c r="E56" s="156"/>
      <c r="F56" s="156"/>
      <c r="G56" s="156"/>
      <c r="H56" s="156"/>
      <c r="I56" s="683" t="e">
        <f>I31+I26</f>
        <v>#REF!</v>
      </c>
      <c r="J56" s="157">
        <f>'CBS (Total)'!J54/'CBS ($ per kW)'!J$1</f>
        <v>42313.06027703869</v>
      </c>
      <c r="K56" s="160">
        <f t="shared" ref="K56" si="8">J56/$J$56</f>
        <v>1</v>
      </c>
      <c r="L56" s="157">
        <f>'CBS (Total)'!L54/'CBS ($ per kW)'!L$1</f>
        <v>10867.872059750667</v>
      </c>
      <c r="M56" s="160">
        <f t="shared" ref="M56" si="9">L56/$L$56</f>
        <v>1</v>
      </c>
      <c r="N56" s="157">
        <f>'CBS (Total)'!N54/'CBS ($ per kW)'!N$1</f>
        <v>5695.73176460779</v>
      </c>
      <c r="O56" s="160">
        <f t="shared" ref="O56" si="10">N56/$N$56</f>
        <v>1</v>
      </c>
      <c r="P56" s="551">
        <f>'CBS (Total)'!P54/'CBS ($ per kW)'!P$1</f>
        <v>5168.8227372459887</v>
      </c>
      <c r="Q56" s="161">
        <f t="shared" ref="Q56" si="11">P56/$P$56</f>
        <v>1</v>
      </c>
    </row>
    <row r="57" spans="1:19" outlineLevel="1" x14ac:dyDescent="0.35">
      <c r="I57" s="61"/>
      <c r="J57" s="151"/>
      <c r="K57" s="86"/>
      <c r="L57" s="151"/>
      <c r="M57" s="86"/>
      <c r="N57" s="151"/>
      <c r="O57" s="86"/>
      <c r="P57" s="150"/>
      <c r="Q57" s="61"/>
    </row>
    <row r="58" spans="1:19" s="59" customFormat="1" x14ac:dyDescent="0.35">
      <c r="A58" s="72">
        <v>2</v>
      </c>
      <c r="B58" s="59" t="s">
        <v>58</v>
      </c>
      <c r="I58" s="81"/>
      <c r="J58" s="151">
        <f>'CBS (Total)'!J56/'CBS ($ per kW)'!J$1</f>
        <v>3325.7025963633282</v>
      </c>
      <c r="K58" s="94">
        <f t="shared" ref="K58:K64" si="12">J58/$J$56</f>
        <v>7.8597543514668231E-2</v>
      </c>
      <c r="L58" s="151">
        <f>'CBS (Total)'!L56/'CBS ($ per kW)'!L$1</f>
        <v>850.36063319846892</v>
      </c>
      <c r="M58" s="94">
        <f t="shared" ref="M58:M64" si="13">L58/$L$56</f>
        <v>7.824536657436304E-2</v>
      </c>
      <c r="N58" s="151">
        <f>'CBS (Total)'!N56/'CBS ($ per kW)'!N$1</f>
        <v>330.04764397952988</v>
      </c>
      <c r="O58" s="94">
        <f t="shared" ref="O58:O64" si="14">N58/$N$56</f>
        <v>5.7946486530560323E-2</v>
      </c>
      <c r="P58" s="389">
        <f>'CBS (Total)'!P56/'CBS ($ per kW)'!P$1</f>
        <v>252.31597716503731</v>
      </c>
      <c r="Q58" s="94">
        <f t="shared" ref="Q58:Q64" si="15">P58/$P$56</f>
        <v>4.8814979733561983E-2</v>
      </c>
    </row>
    <row r="59" spans="1:19" outlineLevel="1" x14ac:dyDescent="0.35">
      <c r="A59" s="38">
        <v>2.1</v>
      </c>
      <c r="C59" s="71" t="s">
        <v>52</v>
      </c>
      <c r="I59" s="61"/>
      <c r="J59" s="152">
        <f>'CBS (Total)'!J57/'CBS ($ per kW)'!J$1</f>
        <v>503.99109408944059</v>
      </c>
      <c r="K59" s="93">
        <f t="shared" si="12"/>
        <v>1.1911005509637715E-2</v>
      </c>
      <c r="L59" s="152">
        <f>'CBS (Total)'!L57/'CBS ($ per kW)'!L$1</f>
        <v>148.74564874877561</v>
      </c>
      <c r="M59" s="93">
        <f t="shared" si="13"/>
        <v>1.3686731673963795E-2</v>
      </c>
      <c r="N59" s="152">
        <f>'CBS (Total)'!N57/'CBS ($ per kW)'!N$1</f>
        <v>46.359542904500003</v>
      </c>
      <c r="O59" s="93">
        <f t="shared" si="14"/>
        <v>8.1393479925739327E-3</v>
      </c>
      <c r="P59" s="91">
        <f>'CBS (Total)'!P57/'CBS ($ per kW)'!P$1</f>
        <v>22.160889815639713</v>
      </c>
      <c r="Q59" s="89">
        <f t="shared" si="15"/>
        <v>4.2874153249541124E-3</v>
      </c>
    </row>
    <row r="60" spans="1:19" outlineLevel="1" x14ac:dyDescent="0.35">
      <c r="A60" s="38">
        <v>2.2000000000000002</v>
      </c>
      <c r="C60" s="71" t="s">
        <v>53</v>
      </c>
      <c r="I60" s="61"/>
      <c r="J60" s="152">
        <f>'CBS (Total)'!J58/'CBS ($ per kW)'!J$1</f>
        <v>2138.5542168674697</v>
      </c>
      <c r="K60" s="93">
        <f t="shared" si="12"/>
        <v>5.0541232490999066E-2</v>
      </c>
      <c r="L60" s="152">
        <f>'CBS (Total)'!L58/'CBS ($ per kW)'!L$1</f>
        <v>337.65060240963857</v>
      </c>
      <c r="M60" s="93">
        <f t="shared" si="13"/>
        <v>3.1068695007933779E-2</v>
      </c>
      <c r="N60" s="152">
        <f>'CBS (Total)'!N58/'CBS ($ per kW)'!N$1</f>
        <v>67.53012048192771</v>
      </c>
      <c r="O60" s="93">
        <f t="shared" si="14"/>
        <v>1.1856267688297267E-2</v>
      </c>
      <c r="P60" s="91">
        <f>'CBS (Total)'!P58/'CBS ($ per kW)'!P$1</f>
        <v>33.765060240963855</v>
      </c>
      <c r="Q60" s="89">
        <f t="shared" si="15"/>
        <v>6.5324469337391684E-3</v>
      </c>
      <c r="R60" s="4"/>
      <c r="S60" s="4"/>
    </row>
    <row r="61" spans="1:19" outlineLevel="1" x14ac:dyDescent="0.35">
      <c r="A61" s="38">
        <v>2.2999999999999998</v>
      </c>
      <c r="C61" s="71" t="s">
        <v>54</v>
      </c>
      <c r="I61" s="61"/>
      <c r="J61" s="152">
        <f>'CBS (Total)'!J59/'CBS ($ per kW)'!J$1</f>
        <v>80.027108433734938</v>
      </c>
      <c r="K61" s="93">
        <f t="shared" si="12"/>
        <v>1.8913098676807806E-3</v>
      </c>
      <c r="L61" s="152">
        <f>'CBS (Total)'!L59/'CBS ($ per kW)'!L$1</f>
        <v>80.027108433734938</v>
      </c>
      <c r="M61" s="93">
        <f t="shared" si="13"/>
        <v>7.3636410139678197E-3</v>
      </c>
      <c r="N61" s="152">
        <f>'CBS (Total)'!N59/'CBS ($ per kW)'!N$1</f>
        <v>33.87469879518072</v>
      </c>
      <c r="O61" s="93">
        <f t="shared" si="14"/>
        <v>5.947383092313397E-3</v>
      </c>
      <c r="P61" s="153">
        <f>'CBS (Total)'!P59/'CBS ($ per kW)'!P$1</f>
        <v>33.87469879518072</v>
      </c>
      <c r="Q61" s="89">
        <f t="shared" si="15"/>
        <v>6.5536584474223175E-3</v>
      </c>
      <c r="R61" s="65"/>
      <c r="S61" s="65"/>
    </row>
    <row r="62" spans="1:19" outlineLevel="1" x14ac:dyDescent="0.35">
      <c r="A62" s="38">
        <v>2.4</v>
      </c>
      <c r="C62" s="71" t="s">
        <v>55</v>
      </c>
      <c r="I62" s="61"/>
      <c r="J62" s="152">
        <f>'CBS (Total)'!J60/'CBS ($ per kW)'!J$1</f>
        <v>426.38855421686748</v>
      </c>
      <c r="K62" s="93">
        <f t="shared" si="12"/>
        <v>1.0076996355856788E-2</v>
      </c>
      <c r="L62" s="152">
        <f>'CBS (Total)'!L60/'CBS ($ per kW)'!L$1</f>
        <v>120.46265060240964</v>
      </c>
      <c r="M62" s="93">
        <f t="shared" si="13"/>
        <v>1.1084290460921502E-2</v>
      </c>
      <c r="N62" s="152">
        <f>'CBS (Total)'!N60/'CBS ($ per kW)'!N$1</f>
        <v>27.391084337349398</v>
      </c>
      <c r="O62" s="93">
        <f t="shared" si="14"/>
        <v>4.809054476117092E-3</v>
      </c>
      <c r="P62" s="153">
        <f>'CBS (Total)'!P60/'CBS ($ per kW)'!P$1</f>
        <v>20.320301204819277</v>
      </c>
      <c r="Q62" s="89">
        <f t="shared" si="15"/>
        <v>3.9313209676147993E-3</v>
      </c>
    </row>
    <row r="63" spans="1:19" outlineLevel="1" x14ac:dyDescent="0.35">
      <c r="A63" s="2">
        <v>2.5</v>
      </c>
      <c r="C63" s="71" t="s">
        <v>56</v>
      </c>
      <c r="I63" s="61"/>
      <c r="J63" s="152">
        <f>'CBS (Total)'!J61/'CBS ($ per kW)'!J$1</f>
        <v>152.64523721364654</v>
      </c>
      <c r="K63" s="93">
        <f t="shared" si="12"/>
        <v>3.607520614538957E-3</v>
      </c>
      <c r="L63" s="152">
        <f>'CBS (Total)'!L61/'CBS ($ per kW)'!L$1</f>
        <v>139.37823746174149</v>
      </c>
      <c r="M63" s="93">
        <f t="shared" si="13"/>
        <v>1.2824795571336449E-2</v>
      </c>
      <c r="N63" s="152">
        <f>'CBS (Total)'!N61/'CBS ($ per kW)'!N$1</f>
        <v>130.79581191840339</v>
      </c>
      <c r="O63" s="93">
        <f t="shared" si="14"/>
        <v>2.2963829289002698E-2</v>
      </c>
      <c r="P63" s="153">
        <f>'CBS (Total)'!P61/'CBS ($ per kW)'!P$1</f>
        <v>118.09864156626507</v>
      </c>
      <c r="Q63" s="89">
        <f t="shared" si="15"/>
        <v>2.2848266920677852E-2</v>
      </c>
    </row>
    <row r="64" spans="1:19" outlineLevel="1" x14ac:dyDescent="0.35">
      <c r="A64" s="38">
        <v>2.6</v>
      </c>
      <c r="C64" s="71" t="s">
        <v>57</v>
      </c>
      <c r="I64" s="61"/>
      <c r="J64" s="152">
        <f>'CBS (Total)'!J62/'CBS ($ per kW)'!J$1</f>
        <v>24.096385542168676</v>
      </c>
      <c r="K64" s="93">
        <f t="shared" si="12"/>
        <v>5.694786759549191E-4</v>
      </c>
      <c r="L64" s="152">
        <f>'CBS (Total)'!L62/'CBS ($ per kW)'!L$1</f>
        <v>24.096385542168676</v>
      </c>
      <c r="M64" s="93">
        <f t="shared" si="13"/>
        <v>2.2172128462396991E-3</v>
      </c>
      <c r="N64" s="152">
        <f>'CBS (Total)'!N62/'CBS ($ per kW)'!N$1</f>
        <v>24.096385542168676</v>
      </c>
      <c r="O64" s="93">
        <f t="shared" si="14"/>
        <v>4.2306039922559383E-3</v>
      </c>
      <c r="P64" s="153">
        <f>'CBS (Total)'!P62/'CBS ($ per kW)'!P$1</f>
        <v>24.096385542168676</v>
      </c>
      <c r="Q64" s="89">
        <f t="shared" si="15"/>
        <v>4.6618711391537334E-3</v>
      </c>
    </row>
    <row r="65" spans="1:17" x14ac:dyDescent="0.35">
      <c r="I65" s="61"/>
      <c r="J65" s="151"/>
      <c r="K65" s="78"/>
      <c r="L65" s="151"/>
      <c r="M65" s="78"/>
      <c r="N65" s="151"/>
      <c r="O65" s="78"/>
      <c r="P65" s="150"/>
      <c r="Q65" s="61"/>
    </row>
    <row r="66" spans="1:17" s="59" customFormat="1" x14ac:dyDescent="0.35">
      <c r="A66" s="155" t="s">
        <v>205</v>
      </c>
      <c r="B66" s="156"/>
      <c r="C66" s="156"/>
      <c r="D66" s="156"/>
      <c r="E66" s="156"/>
      <c r="F66" s="156"/>
      <c r="G66" s="156"/>
      <c r="H66" s="156"/>
      <c r="I66" s="156"/>
      <c r="J66" s="157">
        <f>'CBS (Total)'!J64/'CBS ($ per kW)'!J$1</f>
        <v>3325.7025963633282</v>
      </c>
      <c r="K66" s="158">
        <f t="shared" ref="K66:Q66" si="16">SUM(K59:K64)</f>
        <v>7.8597543514668217E-2</v>
      </c>
      <c r="L66" s="157">
        <f>'CBS (Total)'!L64/'CBS ($ per kW)'!L$1</f>
        <v>850.36063319846892</v>
      </c>
      <c r="M66" s="158">
        <f t="shared" si="16"/>
        <v>7.824536657436304E-2</v>
      </c>
      <c r="N66" s="157">
        <f>'CBS (Total)'!N64/'CBS ($ per kW)'!N$1</f>
        <v>330.04764397952988</v>
      </c>
      <c r="O66" s="158">
        <f t="shared" si="16"/>
        <v>5.794648653056033E-2</v>
      </c>
      <c r="P66" s="159">
        <f>'CBS (Total)'!P64/'CBS ($ per kW)'!P$1</f>
        <v>252.31597716503731</v>
      </c>
      <c r="Q66" s="158">
        <f t="shared" si="16"/>
        <v>4.881497973356199E-2</v>
      </c>
    </row>
    <row r="67" spans="1:17" x14ac:dyDescent="0.35">
      <c r="J67" s="4"/>
      <c r="K67" s="86"/>
      <c r="L67" s="4"/>
      <c r="M67" s="86"/>
      <c r="N67" s="4"/>
      <c r="O67" s="86"/>
      <c r="P67" s="4"/>
    </row>
    <row r="68" spans="1:17" x14ac:dyDescent="0.35">
      <c r="J68" s="61"/>
      <c r="K68" s="78"/>
      <c r="L68" s="61"/>
      <c r="M68" s="78"/>
      <c r="N68" s="61"/>
      <c r="O68" s="78"/>
      <c r="P68" s="61"/>
    </row>
  </sheetData>
  <mergeCells count="1">
    <mergeCell ref="J3:P3"/>
  </mergeCells>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zoomScale="70" zoomScaleNormal="70" workbookViewId="0">
      <pane xSplit="8" ySplit="4" topLeftCell="I5" activePane="bottomRight" state="frozen"/>
      <selection activeCell="A3" sqref="A3"/>
      <selection pane="topRight" activeCell="I3" sqref="I3"/>
      <selection pane="bottomLeft" activeCell="A5" sqref="A5"/>
      <selection pane="bottomRight" activeCell="T47" sqref="T47"/>
    </sheetView>
  </sheetViews>
  <sheetFormatPr defaultColWidth="9.08984375" defaultRowHeight="14.5" outlineLevelRow="2" x14ac:dyDescent="0.35"/>
  <cols>
    <col min="1" max="1" width="8.453125" style="38" customWidth="1"/>
    <col min="2" max="2" width="3.90625" style="71" customWidth="1"/>
    <col min="3" max="4" width="4.08984375" style="71" customWidth="1"/>
    <col min="5" max="7" width="9.08984375" style="71"/>
    <col min="8" max="9" width="20.36328125" style="71" customWidth="1"/>
    <col min="10" max="10" width="19.54296875" style="71" bestFit="1" customWidth="1"/>
    <col min="11" max="11" width="10.08984375" style="60" customWidth="1"/>
    <col min="12" max="12" width="20.453125" style="71" bestFit="1" customWidth="1"/>
    <col min="13" max="13" width="10.08984375" style="60" customWidth="1"/>
    <col min="14" max="14" width="22.6328125" style="71" bestFit="1" customWidth="1"/>
    <col min="15" max="15" width="11.54296875" style="60" customWidth="1"/>
    <col min="16" max="16" width="20.90625" style="71" customWidth="1"/>
    <col min="17" max="17" width="11" style="71" customWidth="1"/>
    <col min="18" max="18" width="17.08984375" style="71" bestFit="1" customWidth="1"/>
    <col min="19" max="19" width="16.90625" style="71" bestFit="1" customWidth="1"/>
    <col min="20" max="22" width="13.36328125" style="71" bestFit="1" customWidth="1"/>
    <col min="23" max="16384" width="9.08984375" style="71"/>
  </cols>
  <sheetData>
    <row r="1" spans="1:19" ht="21.75" customHeight="1" x14ac:dyDescent="0.35">
      <c r="A1" s="38" t="s">
        <v>206</v>
      </c>
      <c r="J1" s="517">
        <f>J4*'Performance &amp; Economics'!$S$15</f>
        <v>332</v>
      </c>
      <c r="K1" s="517"/>
      <c r="L1" s="517">
        <f>L4*'Performance &amp; Economics'!$S$15</f>
        <v>3320</v>
      </c>
      <c r="M1" s="517"/>
      <c r="N1" s="517">
        <f>N4*'Performance &amp; Economics'!$S$15</f>
        <v>16600</v>
      </c>
      <c r="O1" s="517"/>
      <c r="P1" s="517">
        <f>P4*'Performance &amp; Economics'!$S$15</f>
        <v>33200</v>
      </c>
    </row>
    <row r="2" spans="1:19" ht="27" customHeight="1" x14ac:dyDescent="0.35">
      <c r="A2" s="38" t="s">
        <v>207</v>
      </c>
      <c r="J2" s="57">
        <f>'Performance &amp; Economics'!$S$17</f>
        <v>818.34206662217491</v>
      </c>
      <c r="K2" s="162"/>
      <c r="L2" s="57">
        <f>J2*L4</f>
        <v>8183.4206662217493</v>
      </c>
      <c r="M2" s="162"/>
      <c r="N2" s="57">
        <f>J2*N4</f>
        <v>40917.103331108745</v>
      </c>
      <c r="O2" s="162"/>
      <c r="P2" s="57">
        <f>J2*P4</f>
        <v>81834.20666221749</v>
      </c>
    </row>
    <row r="3" spans="1:19" ht="22.5" customHeight="1" x14ac:dyDescent="0.35">
      <c r="A3" s="3"/>
      <c r="I3" s="59"/>
      <c r="J3" s="903" t="s">
        <v>66</v>
      </c>
      <c r="K3" s="903"/>
      <c r="L3" s="903"/>
      <c r="M3" s="903"/>
      <c r="N3" s="903"/>
      <c r="O3" s="903"/>
      <c r="P3" s="903"/>
      <c r="Q3" s="59"/>
    </row>
    <row r="4" spans="1:19" ht="24.75" customHeight="1" x14ac:dyDescent="0.35">
      <c r="I4" s="59" t="s">
        <v>109</v>
      </c>
      <c r="J4" s="59">
        <v>1</v>
      </c>
      <c r="K4" s="99" t="s">
        <v>141</v>
      </c>
      <c r="L4" s="59">
        <v>10</v>
      </c>
      <c r="M4" s="99" t="s">
        <v>141</v>
      </c>
      <c r="N4" s="59">
        <v>50</v>
      </c>
      <c r="O4" s="99" t="s">
        <v>142</v>
      </c>
      <c r="P4" s="59">
        <v>100</v>
      </c>
      <c r="Q4" s="99" t="s">
        <v>142</v>
      </c>
      <c r="R4" s="59"/>
      <c r="S4" s="72"/>
    </row>
    <row r="5" spans="1:19" s="60" customFormat="1" outlineLevel="1" x14ac:dyDescent="0.35">
      <c r="A5" s="72">
        <v>1</v>
      </c>
      <c r="B5" s="486" t="s">
        <v>0</v>
      </c>
      <c r="C5" s="486"/>
      <c r="D5" s="486"/>
      <c r="E5" s="486"/>
      <c r="F5" s="486"/>
      <c r="G5" s="486"/>
      <c r="H5" s="486"/>
      <c r="I5" s="78"/>
      <c r="J5" s="164"/>
      <c r="K5" s="92"/>
      <c r="L5" s="164"/>
      <c r="M5" s="92"/>
      <c r="N5" s="164"/>
      <c r="O5" s="92"/>
      <c r="P5" s="164"/>
      <c r="Q5" s="93"/>
      <c r="R5" s="91"/>
      <c r="S5" s="91"/>
    </row>
    <row r="6" spans="1:19" s="486" customFormat="1" outlineLevel="2" x14ac:dyDescent="0.35">
      <c r="A6" s="72">
        <v>1.1000000000000001</v>
      </c>
      <c r="C6" s="486" t="s">
        <v>98</v>
      </c>
      <c r="I6" s="81"/>
      <c r="J6" s="699">
        <f>('CBS (Total)'!J4*'Performance &amp; Economics'!$G$143)/'CBS (CoE)'!J$2/10</f>
        <v>58.129318444753075</v>
      </c>
      <c r="K6" s="692">
        <f t="shared" ref="K6:K35" si="0">J6/$J$56</f>
        <v>0.31354063360902323</v>
      </c>
      <c r="L6" s="699">
        <f>('CBS (Total)'!L4*'Performance &amp; Economics'!$G$143)/'CBS (CoE)'!L$2/10</f>
        <v>10.702359576577937</v>
      </c>
      <c r="M6" s="692">
        <f t="shared" ref="M6:M35" si="1">L6/$L$56</f>
        <v>0.22475432539271942</v>
      </c>
      <c r="N6" s="699">
        <f>('CBS (Total)'!N4*'Performance &amp; Economics'!$G$143)/'CBS (CoE)'!N$2/10</f>
        <v>2.3747241561443286</v>
      </c>
      <c r="O6" s="692">
        <f t="shared" ref="O6:O35" si="2">N6/$N$56</f>
        <v>9.5156109833516037E-2</v>
      </c>
      <c r="P6" s="699">
        <f>('CBS (Total)'!P4*'Performance &amp; Economics'!$G$143)/'CBS (CoE)'!P$2/10</f>
        <v>1.1687841624393867</v>
      </c>
      <c r="Q6" s="695">
        <f t="shared" ref="Q6:Q35" si="3">P6/$P$56</f>
        <v>5.1607844100086508E-2</v>
      </c>
    </row>
    <row r="7" spans="1:19" s="60" customFormat="1" outlineLevel="2" x14ac:dyDescent="0.35">
      <c r="A7" s="436" t="s">
        <v>2</v>
      </c>
      <c r="B7" s="544"/>
      <c r="C7" s="544"/>
      <c r="D7" s="544" t="s">
        <v>1</v>
      </c>
      <c r="E7" s="544"/>
      <c r="F7" s="544"/>
      <c r="G7" s="544"/>
      <c r="H7" s="544"/>
      <c r="I7" s="78"/>
      <c r="J7" s="715">
        <f>('CBS (Total)'!J5*'Performance &amp; Economics'!$G$143)/'CBS (CoE)'!J$2/10</f>
        <v>47.54368813104557</v>
      </c>
      <c r="K7" s="707">
        <f t="shared" si="0"/>
        <v>0.25644336626594949</v>
      </c>
      <c r="L7" s="715">
        <f>('CBS (Total)'!L5*'Performance &amp; Economics'!$G$143)/'CBS (CoE)'!L$2/10</f>
        <v>9.0534268030249159</v>
      </c>
      <c r="M7" s="707">
        <f t="shared" si="1"/>
        <v>0.19012600156505419</v>
      </c>
      <c r="N7" s="715">
        <f>('CBS (Total)'!N5*'Performance &amp; Economics'!$G$143)/'CBS (CoE)'!N$2/10</f>
        <v>1.8522572183739752</v>
      </c>
      <c r="O7" s="707">
        <f t="shared" si="2"/>
        <v>7.4220658789140095E-2</v>
      </c>
      <c r="P7" s="715">
        <f>('CBS (Total)'!P5*'Performance &amp; Economics'!$G$143)/'CBS (CoE)'!P$2/10</f>
        <v>0.92612860918698758</v>
      </c>
      <c r="Q7" s="708">
        <f t="shared" si="3"/>
        <v>4.0893350898764155E-2</v>
      </c>
      <c r="R7" s="91"/>
    </row>
    <row r="8" spans="1:19" s="60" customFormat="1" outlineLevel="2" x14ac:dyDescent="0.35">
      <c r="A8" s="436" t="s">
        <v>99</v>
      </c>
      <c r="B8" s="544"/>
      <c r="C8" s="544"/>
      <c r="D8" s="544"/>
      <c r="E8" s="544" t="s">
        <v>3</v>
      </c>
      <c r="F8" s="544"/>
      <c r="G8" s="544"/>
      <c r="H8" s="544"/>
      <c r="I8" s="78"/>
      <c r="J8" s="715">
        <f>('CBS (Total)'!J6*'Performance &amp; Economics'!$G$143)/'CBS (CoE)'!J$2/10</f>
        <v>4.421134080194383</v>
      </c>
      <c r="K8" s="707">
        <f t="shared" si="0"/>
        <v>2.3846919555612234E-2</v>
      </c>
      <c r="L8" s="715">
        <f>('CBS (Total)'!L6*'Performance &amp; Economics'!$G$143)/'CBS (CoE)'!L$2/10</f>
        <v>0.56089014450227248</v>
      </c>
      <c r="M8" s="707">
        <f t="shared" si="1"/>
        <v>1.1778943245648399E-2</v>
      </c>
      <c r="N8" s="715">
        <f>('CBS (Total)'!N6*'Performance &amp; Economics'!$G$143)/'CBS (CoE)'!N$2/10</f>
        <v>0.1121780289004545</v>
      </c>
      <c r="O8" s="707">
        <f t="shared" si="2"/>
        <v>4.4950167417719331E-3</v>
      </c>
      <c r="P8" s="715">
        <f>('CBS (Total)'!P6*'Performance &amp; Economics'!$G$143)/'CBS (CoE)'!P$2/10</f>
        <v>5.6089014450227251E-2</v>
      </c>
      <c r="Q8" s="708">
        <f t="shared" si="3"/>
        <v>2.4766190426754207E-3</v>
      </c>
    </row>
    <row r="9" spans="1:19" s="60" customFormat="1" outlineLevel="2" x14ac:dyDescent="0.35">
      <c r="A9" s="436" t="s">
        <v>100</v>
      </c>
      <c r="B9" s="544"/>
      <c r="C9" s="544"/>
      <c r="D9" s="544"/>
      <c r="E9" s="544" t="s">
        <v>5</v>
      </c>
      <c r="F9" s="544"/>
      <c r="G9" s="544"/>
      <c r="H9" s="544"/>
      <c r="I9" s="78"/>
      <c r="J9" s="715">
        <f>('CBS (Total)'!J7*'Performance &amp; Economics'!$G$143)/'CBS (CoE)'!J$2/10</f>
        <v>21.544780256469643</v>
      </c>
      <c r="K9" s="707">
        <f t="shared" si="0"/>
        <v>0.11620924231205065</v>
      </c>
      <c r="L9" s="715">
        <f>('CBS (Total)'!L7*'Performance &amp; Economics'!$G$143)/'CBS (CoE)'!L$2/10</f>
        <v>3.7612633219564153</v>
      </c>
      <c r="M9" s="707">
        <f t="shared" si="1"/>
        <v>7.8988207647289269E-2</v>
      </c>
      <c r="N9" s="715">
        <f>('CBS (Total)'!N7*'Performance &amp; Economics'!$G$143)/'CBS (CoE)'!N$2/10</f>
        <v>0.73443615391885797</v>
      </c>
      <c r="O9" s="707">
        <f t="shared" si="2"/>
        <v>2.9429139021130361E-2</v>
      </c>
      <c r="P9" s="715">
        <f>('CBS (Total)'!P7*'Performance &amp; Economics'!$G$143)/'CBS (CoE)'!P$2/10</f>
        <v>0.36721807695942899</v>
      </c>
      <c r="Q9" s="708">
        <f t="shared" si="3"/>
        <v>1.6214570555869078E-2</v>
      </c>
    </row>
    <row r="10" spans="1:19" s="60" customFormat="1" outlineLevel="1" x14ac:dyDescent="0.35">
      <c r="A10" s="436" t="s">
        <v>101</v>
      </c>
      <c r="B10" s="544"/>
      <c r="C10" s="544"/>
      <c r="D10" s="544"/>
      <c r="E10" s="544" t="s">
        <v>7</v>
      </c>
      <c r="F10" s="544"/>
      <c r="G10" s="544"/>
      <c r="H10" s="544"/>
      <c r="I10" s="78"/>
      <c r="J10" s="715">
        <f>('CBS (Total)'!J8*'Performance &amp; Economics'!$G$143)/'CBS (CoE)'!J$2/10</f>
        <v>9.3701647669791406</v>
      </c>
      <c r="K10" s="707">
        <f t="shared" si="0"/>
        <v>5.0541232490999066E-2</v>
      </c>
      <c r="L10" s="715">
        <f>('CBS (Total)'!L8*'Performance &amp; Economics'!$G$143)/'CBS (CoE)'!L$2/10</f>
        <v>2.9958132424003727</v>
      </c>
      <c r="M10" s="707">
        <f t="shared" si="1"/>
        <v>6.2913414512051444E-2</v>
      </c>
      <c r="N10" s="715">
        <f>('CBS (Total)'!N8*'Performance &amp; Economics'!$G$143)/'CBS (CoE)'!N$2/10</f>
        <v>0.59916264848007461</v>
      </c>
      <c r="O10" s="707">
        <f t="shared" si="2"/>
        <v>2.4008677656052444E-2</v>
      </c>
      <c r="P10" s="715">
        <f>('CBS (Total)'!P8*'Performance &amp; Economics'!$G$143)/'CBS (CoE)'!P$2/10</f>
        <v>0.29958132424003731</v>
      </c>
      <c r="Q10" s="708">
        <f t="shared" si="3"/>
        <v>1.3228059357348717E-2</v>
      </c>
    </row>
    <row r="11" spans="1:19" s="60" customFormat="1" outlineLevel="1" x14ac:dyDescent="0.35">
      <c r="A11" s="436" t="s">
        <v>102</v>
      </c>
      <c r="B11" s="544"/>
      <c r="C11" s="544"/>
      <c r="D11" s="544"/>
      <c r="E11" s="544" t="s">
        <v>8</v>
      </c>
      <c r="F11" s="544"/>
      <c r="G11" s="544"/>
      <c r="H11" s="544"/>
      <c r="I11" s="78"/>
      <c r="J11" s="715">
        <f>('CBS (Total)'!J9*'Performance &amp; Economics'!$G$143)/'CBS (CoE)'!J$2/10</f>
        <v>12.207609027402402</v>
      </c>
      <c r="K11" s="707">
        <f t="shared" si="0"/>
        <v>6.5845971907287512E-2</v>
      </c>
      <c r="L11" s="715">
        <f>('CBS (Total)'!L9*'Performance &amp; Economics'!$G$143)/'CBS (CoE)'!L$2/10</f>
        <v>1.7354600941658549</v>
      </c>
      <c r="M11" s="707">
        <f t="shared" si="1"/>
        <v>3.6445436160065049E-2</v>
      </c>
      <c r="N11" s="715">
        <f>('CBS (Total)'!N9*'Performance &amp; Economics'!$G$143)/'CBS (CoE)'!N$2/10</f>
        <v>0.40648038707458811</v>
      </c>
      <c r="O11" s="707">
        <f t="shared" si="2"/>
        <v>1.628782537018536E-2</v>
      </c>
      <c r="P11" s="715">
        <f>('CBS (Total)'!P9*'Performance &amp; Economics'!$G$143)/'CBS (CoE)'!P$2/10</f>
        <v>0.20324019353729406</v>
      </c>
      <c r="Q11" s="708">
        <f t="shared" si="3"/>
        <v>8.9741019428709375E-3</v>
      </c>
    </row>
    <row r="12" spans="1:19" s="59" customFormat="1" x14ac:dyDescent="0.35">
      <c r="A12" s="436" t="s">
        <v>4</v>
      </c>
      <c r="B12" s="544"/>
      <c r="C12" s="544"/>
      <c r="D12" s="544" t="s">
        <v>103</v>
      </c>
      <c r="E12" s="544"/>
      <c r="F12" s="544"/>
      <c r="G12" s="544"/>
      <c r="H12" s="544"/>
      <c r="I12" s="81"/>
      <c r="J12" s="715">
        <f>('CBS (Total)'!J10*'Performance &amp; Economics'!$G$143)/'CBS (CoE)'!J$2/10</f>
        <v>2.5598102376022185</v>
      </c>
      <c r="K12" s="707">
        <f t="shared" si="0"/>
        <v>1.3807224053030495E-2</v>
      </c>
      <c r="L12" s="715">
        <f>('CBS (Total)'!L10*'Performance &amp; Economics'!$G$143)/'CBS (CoE)'!L$2/10</f>
        <v>0.38808451007642997</v>
      </c>
      <c r="M12" s="707">
        <f t="shared" si="1"/>
        <v>8.1499478347261504E-3</v>
      </c>
      <c r="N12" s="715">
        <f>('CBS (Total)'!N10*'Performance &amp; Economics'!$G$143)/'CBS (CoE)'!N$2/10</f>
        <v>7.761690201528601E-2</v>
      </c>
      <c r="O12" s="707">
        <f t="shared" si="2"/>
        <v>3.1101391014169331E-3</v>
      </c>
      <c r="P12" s="715">
        <f>('CBS (Total)'!P10*'Performance &amp; Economics'!$G$143)/'CBS (CoE)'!P$2/10</f>
        <v>3.8808451007643005E-2</v>
      </c>
      <c r="Q12" s="708">
        <f t="shared" si="3"/>
        <v>1.7135931113133576E-3</v>
      </c>
    </row>
    <row r="13" spans="1:19" s="60" customFormat="1" outlineLevel="1" x14ac:dyDescent="0.35">
      <c r="A13" s="436" t="s">
        <v>6</v>
      </c>
      <c r="B13" s="544"/>
      <c r="C13" s="544"/>
      <c r="D13" s="544" t="s">
        <v>160</v>
      </c>
      <c r="E13" s="544"/>
      <c r="F13" s="544"/>
      <c r="G13" s="544"/>
      <c r="H13" s="544"/>
      <c r="I13" s="78"/>
      <c r="J13" s="715">
        <f>('CBS (Total)'!J11*'Performance &amp; Economics'!$G$143)/'CBS (CoE)'!J$2/10</f>
        <v>8.0258200761052922</v>
      </c>
      <c r="K13" s="707">
        <f t="shared" si="0"/>
        <v>4.3290043290043288E-2</v>
      </c>
      <c r="L13" s="715">
        <f>('CBS (Total)'!L11*'Performance &amp; Economics'!$G$143)/'CBS (CoE)'!L$2/10</f>
        <v>1.2608482634765921</v>
      </c>
      <c r="M13" s="707">
        <f t="shared" si="1"/>
        <v>2.6478375992939108E-2</v>
      </c>
      <c r="N13" s="715">
        <f>('CBS (Total)'!N11*'Performance &amp; Economics'!$G$143)/'CBS (CoE)'!N$2/10</f>
        <v>0.44485003575506743</v>
      </c>
      <c r="O13" s="707">
        <f t="shared" si="2"/>
        <v>1.7825311942958999E-2</v>
      </c>
      <c r="P13" s="715">
        <f>('CBS (Total)'!P11*'Performance &amp; Economics'!$G$143)/'CBS (CoE)'!P$2/10</f>
        <v>0.20384710224475611</v>
      </c>
      <c r="Q13" s="708">
        <f t="shared" si="3"/>
        <v>9.0009000900089977E-3</v>
      </c>
    </row>
    <row r="14" spans="1:19" s="486" customFormat="1" outlineLevel="1" x14ac:dyDescent="0.35">
      <c r="A14" s="72">
        <v>1.2</v>
      </c>
      <c r="C14" s="486" t="s">
        <v>10</v>
      </c>
      <c r="I14" s="81"/>
      <c r="J14" s="714">
        <f>('CBS (Total)'!J12*'Performance &amp; Economics'!$G$143)/'CBS (CoE)'!J$2/10</f>
        <v>13.06544101311176</v>
      </c>
      <c r="K14" s="88">
        <f t="shared" si="0"/>
        <v>7.0472986149421241E-2</v>
      </c>
      <c r="L14" s="714">
        <f>('CBS (Total)'!L12*'Performance &amp; Economics'!$G$143)/'CBS (CoE)'!L$2/10</f>
        <v>6.4139437700730451</v>
      </c>
      <c r="M14" s="704">
        <f t="shared" si="1"/>
        <v>0.13469568040906169</v>
      </c>
      <c r="N14" s="714">
        <f>('CBS (Total)'!N12*'Performance &amp; Economics'!$G$143)/'CBS (CoE)'!N$2/10</f>
        <v>1.9970328627313854</v>
      </c>
      <c r="O14" s="704">
        <f t="shared" si="2"/>
        <v>8.0021874513521052E-2</v>
      </c>
      <c r="P14" s="714">
        <f>('CBS (Total)'!P12*'Performance &amp; Economics'!$G$143)/'CBS (CoE)'!P$2/10</f>
        <v>2.2844725650198443</v>
      </c>
      <c r="Q14" s="709">
        <f t="shared" si="3"/>
        <v>0.10087123677343891</v>
      </c>
    </row>
    <row r="15" spans="1:19" s="60" customFormat="1" outlineLevel="1" x14ac:dyDescent="0.35">
      <c r="A15" s="436" t="s">
        <v>9</v>
      </c>
      <c r="B15" s="544"/>
      <c r="C15" s="544"/>
      <c r="D15" s="544" t="s">
        <v>12</v>
      </c>
      <c r="E15" s="544"/>
      <c r="F15" s="544"/>
      <c r="G15" s="544"/>
      <c r="H15" s="544"/>
      <c r="I15" s="78"/>
      <c r="J15" s="715">
        <f>('CBS (Total)'!J13*'Performance &amp; Economics'!$G$143)/'CBS (CoE)'!J$2/10</f>
        <v>11.877673648283418</v>
      </c>
      <c r="K15" s="707">
        <f t="shared" si="0"/>
        <v>6.4066351044928388E-2</v>
      </c>
      <c r="L15" s="715">
        <f>('CBS (Total)'!L13*'Performance &amp; Economics'!$G$143)/'CBS (CoE)'!L$2/10</f>
        <v>1.1877673648283418</v>
      </c>
      <c r="M15" s="707">
        <f t="shared" si="1"/>
        <v>2.4943644520196612E-2</v>
      </c>
      <c r="N15" s="715">
        <f>('CBS (Total)'!N13*'Performance &amp; Economics'!$G$143)/'CBS (CoE)'!N$2/10</f>
        <v>0.88686629907182846</v>
      </c>
      <c r="O15" s="707">
        <f t="shared" si="2"/>
        <v>3.5537073534949871E-2</v>
      </c>
      <c r="P15" s="715">
        <f>('CBS (Total)'!P13*'Performance &amp; Economics'!$G$143)/'CBS (CoE)'!P$2/10</f>
        <v>1.1481751193340637</v>
      </c>
      <c r="Q15" s="708">
        <f t="shared" si="3"/>
        <v>5.069784863829685E-2</v>
      </c>
    </row>
    <row r="16" spans="1:19" s="60" customFormat="1" outlineLevel="1" x14ac:dyDescent="0.35">
      <c r="A16" s="436" t="s">
        <v>11</v>
      </c>
      <c r="B16" s="544"/>
      <c r="C16" s="544"/>
      <c r="D16" s="544" t="s">
        <v>145</v>
      </c>
      <c r="E16" s="544"/>
      <c r="F16" s="544"/>
      <c r="G16" s="544"/>
      <c r="H16" s="544"/>
      <c r="I16" s="78"/>
      <c r="J16" s="715">
        <f>('CBS (Total)'!J14*'Performance &amp; Economics'!$G$143)/'CBS (CoE)'!J$2/10</f>
        <v>1.1877673648283418</v>
      </c>
      <c r="K16" s="707">
        <f t="shared" si="0"/>
        <v>6.4066351044928388E-3</v>
      </c>
      <c r="L16" s="715">
        <f>('CBS (Total)'!L14*'Performance &amp; Economics'!$G$143)/'CBS (CoE)'!L$2/10</f>
        <v>0.11877673648283418</v>
      </c>
      <c r="M16" s="707">
        <f t="shared" si="1"/>
        <v>2.4943644520196615E-3</v>
      </c>
      <c r="N16" s="715">
        <f>('CBS (Total)'!N14*'Performance &amp; Economics'!$G$143)/'CBS (CoE)'!N$2/10</f>
        <v>8.868662990718286E-2</v>
      </c>
      <c r="O16" s="707">
        <f t="shared" si="2"/>
        <v>3.5537073534949878E-3</v>
      </c>
      <c r="P16" s="715">
        <f>('CBS (Total)'!P14*'Performance &amp; Economics'!$G$143)/'CBS (CoE)'!P$2/10</f>
        <v>0.11481751193340636</v>
      </c>
      <c r="Q16" s="708">
        <f t="shared" si="3"/>
        <v>5.0697848638296848E-3</v>
      </c>
    </row>
    <row r="17" spans="1:27" s="60" customFormat="1" outlineLevel="1" x14ac:dyDescent="0.35">
      <c r="A17" s="436" t="s">
        <v>13</v>
      </c>
      <c r="B17" s="544"/>
      <c r="C17" s="544"/>
      <c r="D17" s="544" t="s">
        <v>14</v>
      </c>
      <c r="E17" s="544"/>
      <c r="F17" s="544"/>
      <c r="G17" s="544"/>
      <c r="H17" s="544"/>
      <c r="I17" s="78"/>
      <c r="J17" s="715">
        <f>('CBS (Total)'!J15*'Performance &amp; Economics'!$G$143)/'CBS (CoE)'!J$2/10</f>
        <v>0</v>
      </c>
      <c r="K17" s="707">
        <f t="shared" si="0"/>
        <v>0</v>
      </c>
      <c r="L17" s="715">
        <f>('CBS (Total)'!L15*'Performance &amp; Economics'!$G$143)/'CBS (CoE)'!L$2/10</f>
        <v>0</v>
      </c>
      <c r="M17" s="707">
        <f t="shared" si="1"/>
        <v>0</v>
      </c>
      <c r="N17" s="715">
        <f>('CBS (Total)'!N15*'Performance &amp; Economics'!$G$143)/'CBS (CoE)'!N$2/10</f>
        <v>0</v>
      </c>
      <c r="O17" s="707">
        <f t="shared" si="2"/>
        <v>0</v>
      </c>
      <c r="P17" s="715">
        <f>('CBS (Total)'!P15*'Performance &amp; Economics'!$G$143)/'CBS (CoE)'!P$2/10</f>
        <v>0</v>
      </c>
      <c r="Q17" s="708">
        <f t="shared" si="3"/>
        <v>0</v>
      </c>
    </row>
    <row r="18" spans="1:27" s="59" customFormat="1" x14ac:dyDescent="0.35">
      <c r="A18" s="436" t="s">
        <v>15</v>
      </c>
      <c r="B18" s="544"/>
      <c r="C18" s="544"/>
      <c r="D18" s="544" t="s">
        <v>59</v>
      </c>
      <c r="E18" s="544"/>
      <c r="F18" s="544"/>
      <c r="G18" s="544"/>
      <c r="H18" s="544"/>
      <c r="I18" s="81"/>
      <c r="J18" s="715">
        <f>('CBS (Total)'!J16*'Performance &amp; Economics'!$G$143)/'CBS (CoE)'!J$2/10</f>
        <v>0</v>
      </c>
      <c r="K18" s="707">
        <f t="shared" si="0"/>
        <v>0</v>
      </c>
      <c r="L18" s="715">
        <f>('CBS (Total)'!L16*'Performance &amp; Economics'!$G$143)/'CBS (CoE)'!L$2/10</f>
        <v>5.1073996687618699</v>
      </c>
      <c r="M18" s="707">
        <f t="shared" si="1"/>
        <v>0.10725767143684545</v>
      </c>
      <c r="N18" s="715">
        <f>('CBS (Total)'!N16*'Performance &amp; Economics'!$G$143)/'CBS (CoE)'!N$2/10</f>
        <v>1.0214799337523739</v>
      </c>
      <c r="O18" s="707">
        <f t="shared" si="2"/>
        <v>4.0931093625076194E-2</v>
      </c>
      <c r="P18" s="715">
        <f>('CBS (Total)'!P16*'Performance &amp; Economics'!$G$143)/'CBS (CoE)'!P$2/10</f>
        <v>1.0214799337523739</v>
      </c>
      <c r="Q18" s="708">
        <f t="shared" si="3"/>
        <v>4.5103603271312367E-2</v>
      </c>
    </row>
    <row r="19" spans="1:27" s="60" customFormat="1" outlineLevel="1" x14ac:dyDescent="0.35">
      <c r="A19" s="436" t="s">
        <v>16</v>
      </c>
      <c r="B19" s="544"/>
      <c r="C19" s="544"/>
      <c r="D19" s="544" t="s">
        <v>17</v>
      </c>
      <c r="E19" s="544"/>
      <c r="F19" s="544"/>
      <c r="G19" s="544"/>
      <c r="H19" s="544"/>
      <c r="I19" s="78"/>
      <c r="J19" s="715">
        <f>('CBS (Total)'!J17*'Performance &amp; Economics'!$G$143)/'CBS (CoE)'!J$2/10</f>
        <v>0</v>
      </c>
      <c r="K19" s="707">
        <f t="shared" si="0"/>
        <v>0</v>
      </c>
      <c r="L19" s="715">
        <f>('CBS (Total)'!L17*'Performance &amp; Economics'!$G$143)/'CBS (CoE)'!L$2/10</f>
        <v>0</v>
      </c>
      <c r="M19" s="707">
        <f t="shared" si="1"/>
        <v>0</v>
      </c>
      <c r="N19" s="715">
        <f>('CBS (Total)'!N17*'Performance &amp; Economics'!$G$143)/'CBS (CoE)'!N$2/10</f>
        <v>0</v>
      </c>
      <c r="O19" s="707">
        <f t="shared" si="2"/>
        <v>0</v>
      </c>
      <c r="P19" s="715">
        <f>('CBS (Total)'!P17*'Performance &amp; Economics'!$G$143)/'CBS (CoE)'!P$2/10</f>
        <v>0</v>
      </c>
      <c r="Q19" s="708">
        <f t="shared" si="3"/>
        <v>0</v>
      </c>
    </row>
    <row r="20" spans="1:27" s="486" customFormat="1" outlineLevel="1" x14ac:dyDescent="0.35">
      <c r="A20" s="72">
        <v>1.3</v>
      </c>
      <c r="C20" s="486" t="s">
        <v>18</v>
      </c>
      <c r="I20" s="81"/>
      <c r="J20" s="714">
        <f>('CBS (Total)'!J18*'Performance &amp; Economics'!$G$143)/'CBS (CoE)'!J$2/10</f>
        <v>1.197449046836021</v>
      </c>
      <c r="K20" s="88">
        <f t="shared" si="0"/>
        <v>6.4588566132307047E-3</v>
      </c>
      <c r="L20" s="714">
        <f>('CBS (Total)'!L18*'Performance &amp; Economics'!$G$143)/'CBS (CoE)'!L$2/10</f>
        <v>0.94093508809353976</v>
      </c>
      <c r="M20" s="704">
        <f t="shared" si="1"/>
        <v>1.976005659776409E-2</v>
      </c>
      <c r="N20" s="714">
        <f>('CBS (Total)'!N18*'Performance &amp; Economics'!$G$143)/'CBS (CoE)'!N$2/10</f>
        <v>0.79502234788997883</v>
      </c>
      <c r="O20" s="704">
        <f t="shared" si="2"/>
        <v>3.1856851104234425E-2</v>
      </c>
      <c r="P20" s="714">
        <f>('CBS (Total)'!P18*'Performance &amp; Economics'!$G$143)/'CBS (CoE)'!P$2/10</f>
        <v>0.73937078353768038</v>
      </c>
      <c r="Q20" s="709">
        <f t="shared" si="3"/>
        <v>3.2647030440019556E-2</v>
      </c>
    </row>
    <row r="21" spans="1:27" s="60" customFormat="1" outlineLevel="1" x14ac:dyDescent="0.35">
      <c r="A21" s="436" t="s">
        <v>19</v>
      </c>
      <c r="B21" s="544"/>
      <c r="C21" s="544"/>
      <c r="D21" s="544" t="s">
        <v>20</v>
      </c>
      <c r="E21" s="544"/>
      <c r="F21" s="544"/>
      <c r="G21" s="544"/>
      <c r="H21" s="544"/>
      <c r="I21" s="78"/>
      <c r="J21" s="715">
        <f>('CBS (Total)'!J19*'Performance &amp; Economics'!$G$143)/'CBS (CoE)'!J$2/10</f>
        <v>0.54429502128910057</v>
      </c>
      <c r="K21" s="707">
        <f t="shared" si="0"/>
        <v>2.9358439151048661E-3</v>
      </c>
      <c r="L21" s="715">
        <f>('CBS (Total)'!L19*'Performance &amp; Economics'!$G$143)/'CBS (CoE)'!L$2/10</f>
        <v>0.42769776731524534</v>
      </c>
      <c r="M21" s="707">
        <f t="shared" si="1"/>
        <v>8.9818439080745858E-3</v>
      </c>
      <c r="N21" s="715">
        <f>('CBS (Total)'!N19*'Performance &amp; Economics'!$G$143)/'CBS (CoE)'!N$2/10</f>
        <v>0.36137379449544488</v>
      </c>
      <c r="O21" s="707">
        <f t="shared" si="2"/>
        <v>1.44803868655611E-2</v>
      </c>
      <c r="P21" s="715">
        <f>('CBS (Total)'!P19*'Performance &amp; Economics'!$G$143)/'CBS (CoE)'!P$2/10</f>
        <v>0.33607762888076376</v>
      </c>
      <c r="Q21" s="708">
        <f t="shared" si="3"/>
        <v>1.4839559290917978E-2</v>
      </c>
    </row>
    <row r="22" spans="1:27" s="60" customFormat="1" outlineLevel="1" x14ac:dyDescent="0.35">
      <c r="A22" s="436" t="s">
        <v>21</v>
      </c>
      <c r="B22" s="544"/>
      <c r="C22" s="544"/>
      <c r="D22" s="544" t="s">
        <v>22</v>
      </c>
      <c r="E22" s="544"/>
      <c r="F22" s="544"/>
      <c r="G22" s="544"/>
      <c r="H22" s="544"/>
      <c r="I22" s="78"/>
      <c r="J22" s="715">
        <f>('CBS (Total)'!J20*'Performance &amp; Economics'!$G$143)/'CBS (CoE)'!J$2/10</f>
        <v>0.54429502128910057</v>
      </c>
      <c r="K22" s="707">
        <f t="shared" si="0"/>
        <v>2.9358439151048661E-3</v>
      </c>
      <c r="L22" s="715">
        <f>('CBS (Total)'!L20*'Performance &amp; Economics'!$G$143)/'CBS (CoE)'!L$2/10</f>
        <v>0.42769776731524534</v>
      </c>
      <c r="M22" s="707">
        <f t="shared" si="1"/>
        <v>8.9818439080745858E-3</v>
      </c>
      <c r="N22" s="715">
        <f>('CBS (Total)'!N20*'Performance &amp; Economics'!$G$143)/'CBS (CoE)'!N$2/10</f>
        <v>0.36137379449544488</v>
      </c>
      <c r="O22" s="707">
        <f t="shared" si="2"/>
        <v>1.44803868655611E-2</v>
      </c>
      <c r="P22" s="715">
        <f>('CBS (Total)'!P20*'Performance &amp; Economics'!$G$143)/'CBS (CoE)'!P$2/10</f>
        <v>0.33607762888076376</v>
      </c>
      <c r="Q22" s="708">
        <f t="shared" si="3"/>
        <v>1.4839559290917978E-2</v>
      </c>
      <c r="R22" s="105"/>
    </row>
    <row r="23" spans="1:27" s="60" customFormat="1" outlineLevel="1" x14ac:dyDescent="0.35">
      <c r="A23" s="436" t="s">
        <v>23</v>
      </c>
      <c r="B23" s="544"/>
      <c r="C23" s="544"/>
      <c r="D23" s="544" t="s">
        <v>385</v>
      </c>
      <c r="E23" s="544"/>
      <c r="F23" s="544"/>
      <c r="G23" s="544"/>
      <c r="H23" s="544"/>
      <c r="I23" s="78"/>
      <c r="J23" s="715">
        <f>('CBS (Total)'!J21*'Performance &amp; Economics'!$G$143)/'CBS (CoE)'!J$2/10</f>
        <v>0</v>
      </c>
      <c r="K23" s="707">
        <f t="shared" si="0"/>
        <v>0</v>
      </c>
      <c r="L23" s="715">
        <f>('CBS (Total)'!L21*'Performance &amp; Economics'!$G$143)/'CBS (CoE)'!L$2/10</f>
        <v>0</v>
      </c>
      <c r="M23" s="707">
        <f t="shared" si="1"/>
        <v>0</v>
      </c>
      <c r="N23" s="715">
        <f>('CBS (Total)'!N21*'Performance &amp; Economics'!$G$143)/'CBS (CoE)'!N$2/10</f>
        <v>0</v>
      </c>
      <c r="O23" s="707">
        <f t="shared" si="2"/>
        <v>0</v>
      </c>
      <c r="P23" s="715">
        <f>('CBS (Total)'!P21*'Performance &amp; Economics'!$G$143)/'CBS (CoE)'!P$2/10</f>
        <v>0</v>
      </c>
      <c r="Q23" s="708">
        <f t="shared" si="3"/>
        <v>0</v>
      </c>
      <c r="R23" s="91"/>
      <c r="S23" s="91"/>
      <c r="T23" s="91"/>
      <c r="U23" s="91"/>
    </row>
    <row r="24" spans="1:27" s="59" customFormat="1" x14ac:dyDescent="0.35">
      <c r="A24" s="436" t="s">
        <v>24</v>
      </c>
      <c r="B24" s="544"/>
      <c r="C24" s="544"/>
      <c r="D24" s="544" t="s">
        <v>25</v>
      </c>
      <c r="E24" s="544"/>
      <c r="F24" s="544"/>
      <c r="G24" s="544"/>
      <c r="H24" s="544"/>
      <c r="J24" s="715">
        <f>('CBS (Total)'!J22*'Performance &amp; Economics'!$G$143)/'CBS (CoE)'!J$2/10</f>
        <v>0.10885900425782011</v>
      </c>
      <c r="K24" s="707">
        <f t="shared" si="0"/>
        <v>5.8716878302097326E-4</v>
      </c>
      <c r="L24" s="715">
        <f>('CBS (Total)'!L22*'Performance &amp; Economics'!$G$143)/'CBS (CoE)'!L$2/10</f>
        <v>8.5539553463049076E-2</v>
      </c>
      <c r="M24" s="707">
        <f t="shared" si="1"/>
        <v>1.7963687816149173E-3</v>
      </c>
      <c r="N24" s="715">
        <f>('CBS (Total)'!N22*'Performance &amp; Economics'!$G$143)/'CBS (CoE)'!N$2/10</f>
        <v>7.2274758899088992E-2</v>
      </c>
      <c r="O24" s="707">
        <f t="shared" si="2"/>
        <v>2.8960773731122207E-3</v>
      </c>
      <c r="P24" s="715">
        <f>('CBS (Total)'!P22*'Performance &amp; Economics'!$G$143)/'CBS (CoE)'!P$2/10</f>
        <v>6.7215525776152765E-2</v>
      </c>
      <c r="Q24" s="708">
        <f t="shared" si="3"/>
        <v>2.967911858183596E-3</v>
      </c>
      <c r="R24" s="97"/>
      <c r="S24" s="97"/>
      <c r="T24" s="97"/>
      <c r="U24" s="97"/>
      <c r="V24" s="98"/>
      <c r="W24" s="97"/>
      <c r="X24" s="97"/>
      <c r="Y24" s="97"/>
    </row>
    <row r="25" spans="1:27" s="60" customFormat="1" outlineLevel="1" x14ac:dyDescent="0.35">
      <c r="A25" s="436" t="s">
        <v>26</v>
      </c>
      <c r="B25" s="544"/>
      <c r="C25" s="544"/>
      <c r="D25" s="544" t="s">
        <v>17</v>
      </c>
      <c r="E25" s="544"/>
      <c r="F25" s="544"/>
      <c r="G25" s="544"/>
      <c r="H25" s="544"/>
      <c r="J25" s="715">
        <f>('CBS (Total)'!J23*'Performance &amp; Economics'!$G$143)/'CBS (CoE)'!J$2/10</f>
        <v>0</v>
      </c>
      <c r="K25" s="707">
        <f t="shared" si="0"/>
        <v>0</v>
      </c>
      <c r="L25" s="715">
        <f>('CBS (Total)'!L23*'Performance &amp; Economics'!$G$143)/'CBS (CoE)'!L$2/10</f>
        <v>0</v>
      </c>
      <c r="M25" s="707">
        <f t="shared" si="1"/>
        <v>0</v>
      </c>
      <c r="N25" s="715">
        <f>('CBS (Total)'!N23*'Performance &amp; Economics'!$G$143)/'CBS (CoE)'!N$2/10</f>
        <v>0</v>
      </c>
      <c r="O25" s="707">
        <f t="shared" si="2"/>
        <v>0</v>
      </c>
      <c r="P25" s="715">
        <f>('CBS (Total)'!P23*'Performance &amp; Economics'!$G$143)/'CBS (CoE)'!P$2/10</f>
        <v>0</v>
      </c>
      <c r="Q25" s="708">
        <f t="shared" si="3"/>
        <v>0</v>
      </c>
      <c r="R25" s="153"/>
      <c r="S25" s="153"/>
      <c r="T25" s="153"/>
      <c r="U25" s="153"/>
      <c r="V25" s="91"/>
      <c r="W25" s="91"/>
      <c r="X25" s="91"/>
      <c r="Y25" s="91"/>
      <c r="AA25" s="105"/>
    </row>
    <row r="26" spans="1:27" s="486" customFormat="1" outlineLevel="1" x14ac:dyDescent="0.35">
      <c r="A26" s="72">
        <v>1.4</v>
      </c>
      <c r="C26" s="486" t="s">
        <v>27</v>
      </c>
      <c r="I26" s="118">
        <f>SUM(I27:I30)</f>
        <v>217.86912000000001</v>
      </c>
      <c r="J26" s="714">
        <f>('CBS (Total)'!J24*'Performance &amp; Economics'!$G$143)/'CBS (CoE)'!J$2/10</f>
        <v>3.9270062426213004</v>
      </c>
      <c r="K26" s="88">
        <f t="shared" si="0"/>
        <v>2.1181669739828348E-2</v>
      </c>
      <c r="L26" s="714">
        <f>('CBS (Total)'!L24*'Performance &amp; Economics'!$G$143)/'CBS (CoE)'!L$2/10</f>
        <v>2.731821054829314</v>
      </c>
      <c r="M26" s="88">
        <f t="shared" si="1"/>
        <v>5.736946080708228E-2</v>
      </c>
      <c r="N26" s="714">
        <f>('CBS (Total)'!N24*'Performance &amp; Economics'!$G$143)/'CBS (CoE)'!N$2/10</f>
        <v>2.4042328742988603</v>
      </c>
      <c r="O26" s="88">
        <f t="shared" si="2"/>
        <v>9.6338535513776066E-2</v>
      </c>
      <c r="P26" s="714">
        <f>('CBS (Total)'!P24*'Performance &amp; Economics'!$G$143)/'CBS (CoE)'!P$2/10</f>
        <v>2.3296018266046299</v>
      </c>
      <c r="Q26" s="94">
        <f t="shared" si="3"/>
        <v>0.10286392624602614</v>
      </c>
      <c r="R26" s="150"/>
      <c r="S26" s="150"/>
      <c r="T26" s="150"/>
      <c r="U26" s="150"/>
      <c r="V26" s="389"/>
      <c r="W26" s="389"/>
      <c r="X26" s="389"/>
      <c r="Y26" s="389"/>
    </row>
    <row r="27" spans="1:27" s="60" customFormat="1" outlineLevel="1" x14ac:dyDescent="0.35">
      <c r="A27" s="436" t="s">
        <v>28</v>
      </c>
      <c r="B27" s="544"/>
      <c r="C27" s="544"/>
      <c r="D27" s="544" t="s">
        <v>270</v>
      </c>
      <c r="E27" s="544"/>
      <c r="F27" s="544"/>
      <c r="G27" s="544"/>
      <c r="H27" s="544"/>
      <c r="I27" s="154">
        <f>'1.4'!E22</f>
        <v>205.44</v>
      </c>
      <c r="J27" s="715">
        <f>('CBS (Total)'!J25*'Performance &amp; Economics'!$G$143)/'CBS (CoE)'!J$2/10</f>
        <v>3.5700056751102727</v>
      </c>
      <c r="K27" s="707">
        <f t="shared" si="0"/>
        <v>1.925606339984395E-2</v>
      </c>
      <c r="L27" s="715">
        <f>('CBS (Total)'!L25*'Performance &amp; Economics'!$G$143)/'CBS (CoE)'!L$2/10</f>
        <v>2.483473686208467</v>
      </c>
      <c r="M27" s="707">
        <f t="shared" si="1"/>
        <v>5.2154055279165702E-2</v>
      </c>
      <c r="N27" s="715">
        <f>('CBS (Total)'!N25*'Performance &amp; Economics'!$G$143)/'CBS (CoE)'!N$2/10</f>
        <v>2.1856662493626007</v>
      </c>
      <c r="O27" s="707">
        <f t="shared" si="2"/>
        <v>8.7580486830705531E-2</v>
      </c>
      <c r="P27" s="715">
        <f>('CBS (Total)'!P25*'Performance &amp; Economics'!$G$143)/'CBS (CoE)'!P$2/10</f>
        <v>2.1178198423678456</v>
      </c>
      <c r="Q27" s="708">
        <f t="shared" si="3"/>
        <v>9.351266022366013E-2</v>
      </c>
      <c r="R27" s="153"/>
      <c r="S27" s="153"/>
      <c r="T27" s="153"/>
      <c r="U27" s="153"/>
      <c r="V27" s="91"/>
      <c r="W27" s="91"/>
      <c r="X27" s="91"/>
      <c r="Y27" s="91"/>
    </row>
    <row r="28" spans="1:27" s="60" customFormat="1" outlineLevel="1" x14ac:dyDescent="0.35">
      <c r="A28" s="436" t="s">
        <v>29</v>
      </c>
      <c r="B28" s="544"/>
      <c r="C28" s="544"/>
      <c r="D28" s="544" t="s">
        <v>271</v>
      </c>
      <c r="E28" s="544"/>
      <c r="F28" s="544"/>
      <c r="G28" s="544"/>
      <c r="H28" s="544"/>
      <c r="I28" s="698">
        <v>0</v>
      </c>
      <c r="J28" s="715">
        <f>('CBS (Total)'!J26*'Performance &amp; Economics'!$G$143)/'CBS (CoE)'!J$2/10</f>
        <v>0</v>
      </c>
      <c r="K28" s="707">
        <f t="shared" si="0"/>
        <v>0</v>
      </c>
      <c r="L28" s="715">
        <f>('CBS (Total)'!L26*'Performance &amp; Economics'!$G$143)/'CBS (CoE)'!L$2/10</f>
        <v>0</v>
      </c>
      <c r="M28" s="707">
        <f t="shared" si="1"/>
        <v>0</v>
      </c>
      <c r="N28" s="715">
        <f>('CBS (Total)'!N26*'Performance &amp; Economics'!$G$143)/'CBS (CoE)'!N$2/10</f>
        <v>0</v>
      </c>
      <c r="O28" s="707">
        <f t="shared" si="2"/>
        <v>0</v>
      </c>
      <c r="P28" s="715">
        <f>('CBS (Total)'!P26*'Performance &amp; Economics'!$G$143)/'CBS (CoE)'!P$2/10</f>
        <v>0</v>
      </c>
      <c r="Q28" s="708">
        <f t="shared" si="3"/>
        <v>0</v>
      </c>
    </row>
    <row r="29" spans="1:27" s="59" customFormat="1" x14ac:dyDescent="0.35">
      <c r="A29" s="436" t="s">
        <v>30</v>
      </c>
      <c r="B29" s="544"/>
      <c r="C29" s="544"/>
      <c r="D29" s="544" t="s">
        <v>272</v>
      </c>
      <c r="E29" s="544"/>
      <c r="F29" s="544"/>
      <c r="G29" s="544"/>
      <c r="H29" s="544"/>
      <c r="I29" s="154">
        <v>0</v>
      </c>
      <c r="J29" s="715">
        <f>('CBS (Total)'!J27*'Performance &amp; Economics'!$G$143)/'CBS (CoE)'!J$2/10</f>
        <v>0</v>
      </c>
      <c r="K29" s="707">
        <f t="shared" si="0"/>
        <v>0</v>
      </c>
      <c r="L29" s="715">
        <f>('CBS (Total)'!L27*'Performance &amp; Economics'!$G$143)/'CBS (CoE)'!L$2/10</f>
        <v>0</v>
      </c>
      <c r="M29" s="707">
        <f t="shared" si="1"/>
        <v>0</v>
      </c>
      <c r="N29" s="715">
        <f>('CBS (Total)'!N27*'Performance &amp; Economics'!$G$143)/'CBS (CoE)'!N$2/10</f>
        <v>0</v>
      </c>
      <c r="O29" s="707">
        <f t="shared" si="2"/>
        <v>0</v>
      </c>
      <c r="P29" s="715">
        <f>('CBS (Total)'!P27*'Performance &amp; Economics'!$G$143)/'CBS (CoE)'!P$2/10</f>
        <v>0</v>
      </c>
      <c r="Q29" s="708">
        <f t="shared" si="3"/>
        <v>0</v>
      </c>
    </row>
    <row r="30" spans="1:27" s="60" customFormat="1" outlineLevel="1" x14ac:dyDescent="0.35">
      <c r="A30" s="465" t="s">
        <v>31</v>
      </c>
      <c r="B30" s="544"/>
      <c r="C30" s="544"/>
      <c r="D30" s="544" t="s">
        <v>63</v>
      </c>
      <c r="E30" s="544"/>
      <c r="F30" s="544"/>
      <c r="G30" s="544"/>
      <c r="H30" s="544"/>
      <c r="I30" s="154">
        <f>'1.4'!E36</f>
        <v>12.429119999999999</v>
      </c>
      <c r="J30" s="715">
        <f>('CBS (Total)'!J28*'Performance &amp; Economics'!$G$143)/'CBS (CoE)'!J$2/10</f>
        <v>0.35700056751102727</v>
      </c>
      <c r="K30" s="707">
        <f t="shared" si="0"/>
        <v>1.9256063399843951E-3</v>
      </c>
      <c r="L30" s="715">
        <f>('CBS (Total)'!L28*'Performance &amp; Economics'!$G$143)/'CBS (CoE)'!L$2/10</f>
        <v>0.24834736862084675</v>
      </c>
      <c r="M30" s="707">
        <f t="shared" si="1"/>
        <v>5.2154055279165709E-3</v>
      </c>
      <c r="N30" s="715">
        <f>('CBS (Total)'!N28*'Performance &amp; Economics'!$G$143)/'CBS (CoE)'!N$2/10</f>
        <v>0.21856662493626006</v>
      </c>
      <c r="O30" s="707">
        <f t="shared" si="2"/>
        <v>8.7580486830705524E-3</v>
      </c>
      <c r="P30" s="715">
        <f>('CBS (Total)'!P28*'Performance &amp; Economics'!$G$143)/'CBS (CoE)'!P$2/10</f>
        <v>0.21178198423678457</v>
      </c>
      <c r="Q30" s="708">
        <f t="shared" si="3"/>
        <v>9.351266022366014E-3</v>
      </c>
    </row>
    <row r="31" spans="1:27" s="486" customFormat="1" outlineLevel="1" x14ac:dyDescent="0.35">
      <c r="A31" s="72">
        <v>1.5</v>
      </c>
      <c r="C31" s="486" t="s">
        <v>32</v>
      </c>
      <c r="I31" s="118">
        <f>SUM(I32:I44)</f>
        <v>14.467329868480727</v>
      </c>
      <c r="J31" s="714">
        <f>('CBS (Total)'!J29*'Performance &amp; Economics'!$G$143)/'CBS (CoE)'!J$2/10</f>
        <v>8.5607050031248715</v>
      </c>
      <c r="K31" s="88">
        <f t="shared" si="0"/>
        <v>4.6175130599040846E-2</v>
      </c>
      <c r="L31" s="714">
        <f>('CBS (Total)'!L29*'Performance &amp; Economics'!$G$143)/'CBS (CoE)'!L$2/10</f>
        <v>6.6908972603925196</v>
      </c>
      <c r="M31" s="88">
        <f t="shared" si="1"/>
        <v>0.1405118272537387</v>
      </c>
      <c r="N31" s="714">
        <f>('CBS (Total)'!N29*'Performance &amp; Economics'!$G$143)/'CBS (CoE)'!N$2/10</f>
        <v>5.8446636053953576</v>
      </c>
      <c r="O31" s="88">
        <f t="shared" si="2"/>
        <v>0.23419791748694915</v>
      </c>
      <c r="P31" s="714">
        <f>('CBS (Total)'!P29*'Performance &amp; Economics'!$G$143)/'CBS (CoE)'!P$2/10</f>
        <v>5.5542949921056879</v>
      </c>
      <c r="Q31" s="94">
        <f t="shared" si="3"/>
        <v>0.24525074795693685</v>
      </c>
    </row>
    <row r="32" spans="1:27" s="60" customFormat="1" outlineLevel="1" x14ac:dyDescent="0.35">
      <c r="A32" s="436" t="s">
        <v>33</v>
      </c>
      <c r="B32" s="544"/>
      <c r="C32" s="544"/>
      <c r="D32" s="544" t="s">
        <v>34</v>
      </c>
      <c r="E32" s="544"/>
      <c r="F32" s="544"/>
      <c r="G32" s="544"/>
      <c r="H32" s="544"/>
      <c r="I32" s="154">
        <f>'1.5'!L4/1000</f>
        <v>2.407</v>
      </c>
      <c r="J32" s="715">
        <f>('CBS (Total)'!J30*'Performance &amp; Economics'!$G$143)/'CBS (CoE)'!J$2/10</f>
        <v>0.39433876512300947</v>
      </c>
      <c r="K32" s="707">
        <f t="shared" si="0"/>
        <v>2.1270028546916224E-3</v>
      </c>
      <c r="L32" s="715">
        <f>('CBS (Total)'!L30*'Performance &amp; Economics'!$G$143)/'CBS (CoE)'!L$2/10</f>
        <v>0.3479217266137874</v>
      </c>
      <c r="M32" s="707">
        <f t="shared" si="1"/>
        <v>7.3065114655356481E-3</v>
      </c>
      <c r="N32" s="715">
        <f>('CBS (Total)'!N30*'Performance &amp; Economics'!$G$143)/'CBS (CoE)'!N$2/10</f>
        <v>0.31876161881655152</v>
      </c>
      <c r="O32" s="707">
        <f t="shared" si="2"/>
        <v>1.277290060503922E-2</v>
      </c>
      <c r="P32" s="715">
        <f>('CBS (Total)'!P30*'Performance &amp; Economics'!$G$143)/'CBS (CoE)'!P$2/10</f>
        <v>0.30696836972687441</v>
      </c>
      <c r="Q32" s="708">
        <f t="shared" si="3"/>
        <v>1.3554235484726477E-2</v>
      </c>
    </row>
    <row r="33" spans="1:18" s="60" customFormat="1" outlineLevel="1" x14ac:dyDescent="0.35">
      <c r="A33" s="436" t="s">
        <v>35</v>
      </c>
      <c r="B33" s="544"/>
      <c r="C33" s="544"/>
      <c r="D33" s="544" t="s">
        <v>329</v>
      </c>
      <c r="E33" s="544"/>
      <c r="F33" s="544"/>
      <c r="G33" s="544"/>
      <c r="H33" s="544"/>
      <c r="I33" s="698">
        <f>'1.5'!L5/1000</f>
        <v>9.2350098684807254</v>
      </c>
      <c r="J33" s="715">
        <f>('CBS (Total)'!J31*'Performance &amp; Economics'!$G$143)/'CBS (CoE)'!J$2/10</f>
        <v>1.7639649272319153</v>
      </c>
      <c r="K33" s="707">
        <f t="shared" si="0"/>
        <v>9.5145564363366703E-3</v>
      </c>
      <c r="L33" s="715">
        <f>('CBS (Total)'!L31*'Performance &amp; Economics'!$G$143)/'CBS (CoE)'!L$2/10</f>
        <v>1.6086384153165938</v>
      </c>
      <c r="M33" s="707">
        <f t="shared" si="1"/>
        <v>3.3782124329530219E-2</v>
      </c>
      <c r="N33" s="715">
        <f>('CBS (Total)'!N31*'Performance &amp; Economics'!$G$143)/'CBS (CoE)'!N$2/10</f>
        <v>1.5082648533144885</v>
      </c>
      <c r="O33" s="707">
        <f t="shared" si="2"/>
        <v>6.0436752482886123E-2</v>
      </c>
      <c r="P33" s="715">
        <f>('CBS (Total)'!P31*'Performance &amp; Economics'!$G$143)/'CBS (CoE)'!P$2/10</f>
        <v>1.4669892305018968</v>
      </c>
      <c r="Q33" s="708">
        <f t="shared" si="3"/>
        <v>6.4775134654662128E-2</v>
      </c>
    </row>
    <row r="34" spans="1:18" s="60" customFormat="1" outlineLevel="1" x14ac:dyDescent="0.35">
      <c r="A34" s="436" t="s">
        <v>36</v>
      </c>
      <c r="B34" s="544"/>
      <c r="C34" s="544"/>
      <c r="D34" s="544" t="s">
        <v>328</v>
      </c>
      <c r="E34" s="544"/>
      <c r="F34" s="544"/>
      <c r="G34" s="544"/>
      <c r="H34" s="544"/>
      <c r="I34" s="698">
        <f>'1.5'!L6/1000</f>
        <v>1.5006400000000002</v>
      </c>
      <c r="J34" s="715">
        <f>('CBS (Total)'!J32*'Performance &amp; Economics'!$G$143)/'CBS (CoE)'!J$2/10</f>
        <v>0.86754528327062075</v>
      </c>
      <c r="K34" s="707">
        <f t="shared" si="0"/>
        <v>4.6794062803215694E-3</v>
      </c>
      <c r="L34" s="715">
        <f>('CBS (Total)'!L32*'Performance &amp; Economics'!$G$143)/'CBS (CoE)'!L$2/10</f>
        <v>0.55829852953069181</v>
      </c>
      <c r="M34" s="707">
        <f t="shared" si="1"/>
        <v>1.1724518175134976E-2</v>
      </c>
      <c r="N34" s="715">
        <f>('CBS (Total)'!N32*'Performance &amp; Economics'!$G$143)/'CBS (CoE)'!N$2/10</f>
        <v>0.41026614755502566</v>
      </c>
      <c r="O34" s="707">
        <f t="shared" si="2"/>
        <v>1.6439522247967069E-2</v>
      </c>
      <c r="P34" s="715">
        <f>('CBS (Total)'!P32*'Performance &amp; Economics'!$G$143)/'CBS (CoE)'!P$2/10</f>
        <v>0.35928643044550146</v>
      </c>
      <c r="Q34" s="708">
        <f t="shared" si="3"/>
        <v>1.5864347486544254E-2</v>
      </c>
    </row>
    <row r="35" spans="1:18" s="60" customFormat="1" outlineLevel="1" x14ac:dyDescent="0.35">
      <c r="A35" s="436" t="s">
        <v>37</v>
      </c>
      <c r="B35" s="544"/>
      <c r="C35" s="544"/>
      <c r="D35" s="544" t="s">
        <v>39</v>
      </c>
      <c r="E35" s="544"/>
      <c r="F35" s="544"/>
      <c r="G35" s="544"/>
      <c r="H35" s="544"/>
      <c r="I35" s="698">
        <f>'1.5'!L7/1000</f>
        <v>1.3246800000000001</v>
      </c>
      <c r="J35" s="715">
        <f>('CBS (Total)'!J33*'Performance &amp; Economics'!$G$143)/'CBS (CoE)'!J$2/10</f>
        <v>1.3144625504100316</v>
      </c>
      <c r="K35" s="707">
        <f t="shared" si="0"/>
        <v>7.0900095156387422E-3</v>
      </c>
      <c r="L35" s="715">
        <f>('CBS (Total)'!L33*'Performance &amp; Economics'!$G$143)/'CBS (CoE)'!L$2/10</f>
        <v>0.62350433374403635</v>
      </c>
      <c r="M35" s="707">
        <f t="shared" si="1"/>
        <v>1.30938691516928E-2</v>
      </c>
      <c r="N35" s="715">
        <f>('CBS (Total)'!N33*'Performance &amp; Economics'!$G$143)/'CBS (CoE)'!N$2/10</f>
        <v>0.37020048414221129</v>
      </c>
      <c r="O35" s="707">
        <f t="shared" si="2"/>
        <v>1.483407571288296E-2</v>
      </c>
      <c r="P35" s="715">
        <f>('CBS (Total)'!P33*'Performance &amp; Economics'!$G$143)/'CBS (CoE)'!P$2/10</f>
        <v>0.29575407384282359</v>
      </c>
      <c r="Q35" s="708">
        <f t="shared" si="3"/>
        <v>1.3059066528579409E-2</v>
      </c>
    </row>
    <row r="36" spans="1:18" s="60" customFormat="1" outlineLevel="1" x14ac:dyDescent="0.35">
      <c r="A36" s="436" t="s">
        <v>40</v>
      </c>
      <c r="B36" s="544"/>
      <c r="C36" s="544"/>
      <c r="D36" s="544" t="s">
        <v>41</v>
      </c>
      <c r="E36" s="544"/>
      <c r="F36" s="544"/>
      <c r="G36" s="544"/>
      <c r="H36" s="544"/>
      <c r="I36" s="698">
        <f>'1.5'!L8/1000</f>
        <v>0</v>
      </c>
      <c r="J36" s="715">
        <f>('CBS (Total)'!J34*'Performance &amp; Economics'!$G$143)/'CBS (CoE)'!J$2/10</f>
        <v>0.87630836694002101</v>
      </c>
      <c r="K36" s="707">
        <f t="shared" ref="K36:K54" si="4">J36/$J$56</f>
        <v>4.7266730104258275E-3</v>
      </c>
      <c r="L36" s="715">
        <f>('CBS (Total)'!L34*'Performance &amp; Economics'!$G$143)/'CBS (CoE)'!L$2/10</f>
        <v>0.75890530731848238</v>
      </c>
      <c r="M36" s="707">
        <f t="shared" ref="M36:M54" si="5">L36/$L$56</f>
        <v>1.5937349998649413E-2</v>
      </c>
      <c r="N36" s="715">
        <f>('CBS (Total)'!N34*'Performance &amp; Economics'!$G$143)/'CBS (CoE)'!N$2/10</f>
        <v>0.68631481750858137</v>
      </c>
      <c r="O36" s="707">
        <f t="shared" ref="O36:O54" si="6">N36/$N$56</f>
        <v>2.7500898572257969E-2</v>
      </c>
      <c r="P36" s="715">
        <f>('CBS (Total)'!P34*'Performance &amp; Economics'!$G$143)/'CBS (CoE)'!P$2/10</f>
        <v>0.65723127520426883</v>
      </c>
      <c r="Q36" s="708">
        <f t="shared" ref="Q36:Q54" si="7">P36/$P$56</f>
        <v>2.9020147841199006E-2</v>
      </c>
    </row>
    <row r="37" spans="1:18" s="60" customFormat="1" outlineLevel="1" x14ac:dyDescent="0.35">
      <c r="A37" s="436" t="s">
        <v>42</v>
      </c>
      <c r="B37" s="544"/>
      <c r="C37" s="544"/>
      <c r="D37" s="544" t="s">
        <v>43</v>
      </c>
      <c r="E37" s="544"/>
      <c r="F37" s="544"/>
      <c r="G37" s="544"/>
      <c r="H37" s="544"/>
      <c r="I37" s="698">
        <f>'1.5'!L9/1000</f>
        <v>0</v>
      </c>
      <c r="J37" s="715">
        <f>('CBS (Total)'!J35*'Performance &amp; Economics'!$G$143)/'CBS (CoE)'!J$2/10</f>
        <v>1.1613725344988231</v>
      </c>
      <c r="K37" s="707">
        <f t="shared" si="4"/>
        <v>6.2642654355041091E-3</v>
      </c>
      <c r="L37" s="715">
        <f>('CBS (Total)'!L35*'Performance &amp; Economics'!$G$143)/'CBS (CoE)'!L$2/10</f>
        <v>1.1613725344988231</v>
      </c>
      <c r="M37" s="707">
        <f t="shared" si="5"/>
        <v>2.4389341308636688E-2</v>
      </c>
      <c r="N37" s="715">
        <f>('CBS (Total)'!N35*'Performance &amp; Economics'!$G$143)/'CBS (CoE)'!N$2/10</f>
        <v>1.1613725344988231</v>
      </c>
      <c r="O37" s="707">
        <f t="shared" si="6"/>
        <v>4.6536643914815309E-2</v>
      </c>
      <c r="P37" s="715">
        <f>('CBS (Total)'!P35*'Performance &amp; Economics'!$G$143)/'CBS (CoE)'!P$2/10</f>
        <v>1.1613725344988231</v>
      </c>
      <c r="Q37" s="708">
        <f t="shared" si="7"/>
        <v>5.1280582530691066E-2</v>
      </c>
    </row>
    <row r="38" spans="1:18" s="60" customFormat="1" outlineLevel="1" x14ac:dyDescent="0.35">
      <c r="A38" s="436" t="s">
        <v>44</v>
      </c>
      <c r="B38" s="544"/>
      <c r="C38" s="544"/>
      <c r="D38" s="544" t="s">
        <v>45</v>
      </c>
      <c r="E38" s="544"/>
      <c r="F38" s="544"/>
      <c r="G38" s="544"/>
      <c r="H38" s="544"/>
      <c r="I38" s="698">
        <f>'1.5'!L10/1000</f>
        <v>0</v>
      </c>
      <c r="J38" s="715">
        <f>('CBS (Total)'!J36*'Performance &amp; Economics'!$G$143)/'CBS (CoE)'!J$2/10</f>
        <v>0</v>
      </c>
      <c r="K38" s="707">
        <f t="shared" si="4"/>
        <v>0</v>
      </c>
      <c r="L38" s="715">
        <f>('CBS (Total)'!L36*'Performance &amp; Economics'!$G$143)/'CBS (CoE)'!L$2/10</f>
        <v>0</v>
      </c>
      <c r="M38" s="707">
        <f t="shared" si="5"/>
        <v>0</v>
      </c>
      <c r="N38" s="715">
        <f>('CBS (Total)'!N36*'Performance &amp; Economics'!$G$143)/'CBS (CoE)'!N$2/10</f>
        <v>0</v>
      </c>
      <c r="O38" s="707">
        <f t="shared" si="6"/>
        <v>0</v>
      </c>
      <c r="P38" s="715">
        <f>('CBS (Total)'!P36*'Performance &amp; Economics'!$G$143)/'CBS (CoE)'!P$2/10</f>
        <v>0</v>
      </c>
      <c r="Q38" s="708">
        <f t="shared" si="7"/>
        <v>0</v>
      </c>
      <c r="R38" s="153"/>
    </row>
    <row r="39" spans="1:18" s="60" customFormat="1" outlineLevel="1" x14ac:dyDescent="0.35">
      <c r="A39" s="436" t="s">
        <v>46</v>
      </c>
      <c r="B39" s="544"/>
      <c r="C39" s="544"/>
      <c r="D39" s="544" t="s">
        <v>60</v>
      </c>
      <c r="E39" s="544"/>
      <c r="F39" s="544"/>
      <c r="G39" s="544"/>
      <c r="H39" s="544"/>
      <c r="I39" s="698">
        <f>'1.5'!L11/1000</f>
        <v>0</v>
      </c>
      <c r="J39" s="715">
        <f>('CBS (Total)'!J37*'Performance &amp; Economics'!$G$143)/'CBS (CoE)'!J$2/10</f>
        <v>0</v>
      </c>
      <c r="K39" s="707">
        <f t="shared" si="4"/>
        <v>0</v>
      </c>
      <c r="L39" s="715">
        <f>('CBS (Total)'!L37*'Performance &amp; Economics'!$G$143)/'CBS (CoE)'!L$2/10</f>
        <v>0</v>
      </c>
      <c r="M39" s="707">
        <f t="shared" si="5"/>
        <v>0</v>
      </c>
      <c r="N39" s="715">
        <f>('CBS (Total)'!N37*'Performance &amp; Economics'!$G$143)/'CBS (CoE)'!N$2/10</f>
        <v>0</v>
      </c>
      <c r="O39" s="707">
        <f t="shared" si="6"/>
        <v>0</v>
      </c>
      <c r="P39" s="715">
        <f>('CBS (Total)'!P37*'Performance &amp; Economics'!$G$143)/'CBS (CoE)'!P$2/10</f>
        <v>0</v>
      </c>
      <c r="Q39" s="708">
        <f t="shared" si="7"/>
        <v>0</v>
      </c>
    </row>
    <row r="40" spans="1:18" s="60" customFormat="1" outlineLevel="1" x14ac:dyDescent="0.35">
      <c r="A40" s="436" t="s">
        <v>61</v>
      </c>
      <c r="B40" s="544"/>
      <c r="C40" s="544"/>
      <c r="D40" s="544" t="s">
        <v>62</v>
      </c>
      <c r="E40" s="544"/>
      <c r="F40" s="544"/>
      <c r="G40" s="544"/>
      <c r="H40" s="544"/>
      <c r="I40" s="698">
        <f>'1.5'!L12/1000</f>
        <v>0</v>
      </c>
      <c r="J40" s="715">
        <f>('CBS (Total)'!J38*'Performance &amp; Economics'!$G$143)/'CBS (CoE)'!J$2/10</f>
        <v>0.22893556086308048</v>
      </c>
      <c r="K40" s="707">
        <f t="shared" si="4"/>
        <v>1.2348433239737474E-3</v>
      </c>
      <c r="L40" s="715">
        <f>('CBS (Total)'!L38*'Performance &amp; Economics'!$G$143)/'CBS (CoE)'!L$2/10</f>
        <v>0.21548844882240284</v>
      </c>
      <c r="M40" s="707">
        <f t="shared" si="5"/>
        <v>4.5253535539018716E-3</v>
      </c>
      <c r="N40" s="715">
        <f>('CBS (Total)'!N38*'Performance &amp; Economics'!$G$143)/'CBS (CoE)'!N$2/10</f>
        <v>0.20656112440484814</v>
      </c>
      <c r="O40" s="707">
        <f t="shared" si="6"/>
        <v>8.276983661595301E-3</v>
      </c>
      <c r="P40" s="715">
        <f>('CBS (Total)'!P38*'Performance &amp; Economics'!$G$143)/'CBS (CoE)'!P$2/10</f>
        <v>0.20283118708524653</v>
      </c>
      <c r="Q40" s="708">
        <f t="shared" si="7"/>
        <v>8.9560422001985652E-3</v>
      </c>
    </row>
    <row r="41" spans="1:18" s="60" customFormat="1" outlineLevel="1" x14ac:dyDescent="0.35">
      <c r="A41" s="436" t="s">
        <v>67</v>
      </c>
      <c r="B41" s="544"/>
      <c r="C41" s="544"/>
      <c r="D41" s="544" t="s">
        <v>64</v>
      </c>
      <c r="E41" s="544"/>
      <c r="F41" s="544"/>
      <c r="G41" s="544"/>
      <c r="H41" s="544"/>
      <c r="I41" s="698">
        <f>'1.5'!L13/1000</f>
        <v>0</v>
      </c>
      <c r="J41" s="715">
        <f>('CBS (Total)'!J39*'Performance &amp; Economics'!$G$143)/'CBS (CoE)'!J$2/10</f>
        <v>0.40796905550517293</v>
      </c>
      <c r="K41" s="707">
        <f t="shared" si="4"/>
        <v>2.2005225517574027E-3</v>
      </c>
      <c r="L41" s="715">
        <f>('CBS (Total)'!L39*'Performance &amp; Economics'!$G$143)/'CBS (CoE)'!L$2/10</f>
        <v>0.35331168324875983</v>
      </c>
      <c r="M41" s="707">
        <f t="shared" si="5"/>
        <v>7.4197029593105739E-3</v>
      </c>
      <c r="N41" s="715">
        <f>('CBS (Total)'!N39*'Performance &amp; Economics'!$G$143)/'CBS (CoE)'!N$2/10</f>
        <v>0.31951693749914389</v>
      </c>
      <c r="O41" s="707">
        <f t="shared" si="6"/>
        <v>1.2803166515012007E-2</v>
      </c>
      <c r="P41" s="715">
        <f>('CBS (Total)'!P39*'Performance &amp; Economics'!$G$143)/'CBS (CoE)'!P$2/10</f>
        <v>0.30597699466568801</v>
      </c>
      <c r="Q41" s="708">
        <f t="shared" si="7"/>
        <v>1.3510461166724393E-2</v>
      </c>
    </row>
    <row r="42" spans="1:18" s="60" customFormat="1" outlineLevel="1" x14ac:dyDescent="0.35">
      <c r="A42" s="436" t="s">
        <v>68</v>
      </c>
      <c r="B42" s="544"/>
      <c r="C42" s="544"/>
      <c r="D42" s="544" t="s">
        <v>65</v>
      </c>
      <c r="E42" s="544"/>
      <c r="F42" s="544"/>
      <c r="G42" s="544"/>
      <c r="H42" s="544"/>
      <c r="I42" s="698">
        <f>'1.5'!L14/1000</f>
        <v>0</v>
      </c>
      <c r="J42" s="715">
        <f>('CBS (Total)'!J40*'Performance &amp; Economics'!$G$143)/'CBS (CoE)'!J$2/10</f>
        <v>0.88857668407718138</v>
      </c>
      <c r="K42" s="707">
        <f t="shared" si="4"/>
        <v>4.7928464325717899E-3</v>
      </c>
      <c r="L42" s="715">
        <f>('CBS (Total)'!L40*'Performance &amp; Economics'!$G$143)/'CBS (CoE)'!L$2/10</f>
        <v>0.76953351963288275</v>
      </c>
      <c r="M42" s="707">
        <f t="shared" si="5"/>
        <v>1.6160547198459572E-2</v>
      </c>
      <c r="N42" s="715">
        <f>('CBS (Total)'!N40*'Performance &amp; Economics'!$G$143)/'CBS (CoE)'!N$2/10</f>
        <v>0.69592866097924722</v>
      </c>
      <c r="O42" s="707">
        <f t="shared" si="6"/>
        <v>2.7886128975902928E-2</v>
      </c>
      <c r="P42" s="715">
        <f>('CBS (Total)'!P40*'Performance &amp; Economics'!$G$143)/'CBS (CoE)'!P$2/10</f>
        <v>0.66643864108765616</v>
      </c>
      <c r="Q42" s="708">
        <f t="shared" si="7"/>
        <v>2.9426700495104385E-2</v>
      </c>
    </row>
    <row r="43" spans="1:18" s="60" customFormat="1" outlineLevel="1" x14ac:dyDescent="0.35">
      <c r="A43" s="436" t="s">
        <v>69</v>
      </c>
      <c r="B43" s="544"/>
      <c r="C43" s="544"/>
      <c r="D43" s="544" t="s">
        <v>134</v>
      </c>
      <c r="E43" s="544"/>
      <c r="F43" s="544"/>
      <c r="G43" s="544"/>
      <c r="H43" s="544"/>
      <c r="I43" s="698">
        <f>'1.5'!L15/1000</f>
        <v>0</v>
      </c>
      <c r="J43" s="715">
        <f>('CBS (Total)'!J41*'Performance &amp; Economics'!$G$143)/'CBS (CoE)'!J$2/10</f>
        <v>0.43815418347001051</v>
      </c>
      <c r="K43" s="707">
        <f t="shared" si="4"/>
        <v>2.3633365052129138E-3</v>
      </c>
      <c r="L43" s="715">
        <f>('CBS (Total)'!L41*'Performance &amp; Economics'!$G$143)/'CBS (CoE)'!L$2/10</f>
        <v>0.19594850777737344</v>
      </c>
      <c r="M43" s="707">
        <f t="shared" si="5"/>
        <v>4.115006075257977E-3</v>
      </c>
      <c r="N43" s="715">
        <f>('CBS (Total)'!N41*'Performance &amp; Economics'!$G$143)/'CBS (CoE)'!N$2/10</f>
        <v>0.11165095111762495</v>
      </c>
      <c r="O43" s="707">
        <f t="shared" si="6"/>
        <v>4.473896532393524E-3</v>
      </c>
      <c r="P43" s="715">
        <f>('CBS (Total)'!P41*'Performance &amp; Economics'!$G$143)/'CBS (CoE)'!P$2/10</f>
        <v>8.7630836697939155E-2</v>
      </c>
      <c r="Q43" s="708">
        <f t="shared" si="7"/>
        <v>3.8693530456714396E-3</v>
      </c>
      <c r="R43" s="164"/>
    </row>
    <row r="44" spans="1:18" s="59" customFormat="1" x14ac:dyDescent="0.35">
      <c r="A44" s="436" t="s">
        <v>70</v>
      </c>
      <c r="B44" s="544"/>
      <c r="C44" s="544"/>
      <c r="D44" s="544" t="s">
        <v>17</v>
      </c>
      <c r="E44" s="544"/>
      <c r="F44" s="544"/>
      <c r="G44" s="544"/>
      <c r="H44" s="544"/>
      <c r="I44" s="698">
        <f>'1.5'!L16/1000</f>
        <v>0</v>
      </c>
      <c r="J44" s="715">
        <f>('CBS (Total)'!J42*'Performance &amp; Economics'!$G$143)/'CBS (CoE)'!J$2/10</f>
        <v>0.21907709173500525</v>
      </c>
      <c r="K44" s="707">
        <f t="shared" si="4"/>
        <v>1.1816682526064569E-3</v>
      </c>
      <c r="L44" s="715">
        <f>('CBS (Total)'!L42*'Performance &amp; Economics'!$G$143)/'CBS (CoE)'!L$2/10</f>
        <v>9.7974253888686719E-2</v>
      </c>
      <c r="M44" s="707">
        <f t="shared" si="5"/>
        <v>2.0575030376289885E-3</v>
      </c>
      <c r="N44" s="715">
        <f>('CBS (Total)'!N42*'Performance &amp; Economics'!$G$143)/'CBS (CoE)'!N$2/10</f>
        <v>5.5825475558812475E-2</v>
      </c>
      <c r="O44" s="707">
        <f t="shared" si="6"/>
        <v>2.236948266196762E-3</v>
      </c>
      <c r="P44" s="715">
        <f>('CBS (Total)'!P42*'Performance &amp; Economics'!$G$143)/'CBS (CoE)'!P$2/10</f>
        <v>4.3815418348969577E-2</v>
      </c>
      <c r="Q44" s="708">
        <f t="shared" si="7"/>
        <v>1.9346765228357198E-3</v>
      </c>
    </row>
    <row r="45" spans="1:18" s="486" customFormat="1" x14ac:dyDescent="0.35">
      <c r="A45" s="72">
        <v>1.6</v>
      </c>
      <c r="C45" s="486" t="s">
        <v>72</v>
      </c>
      <c r="I45" s="81"/>
      <c r="J45" s="732">
        <f>('CBS (Total)'!J43*'Performance &amp; Economics'!$G$143)/'CBS (CoE)'!J$2/10</f>
        <v>3.7463133737238508</v>
      </c>
      <c r="K45" s="728">
        <f t="shared" si="4"/>
        <v>2.0207040101660755E-2</v>
      </c>
      <c r="L45" s="732">
        <f>('CBS (Total)'!L43*'Performance &amp; Economics'!$G$143)/'CBS (CoE)'!L$2/10</f>
        <v>1.8845436630443664</v>
      </c>
      <c r="M45" s="728">
        <f t="shared" si="5"/>
        <v>3.9576257612164191E-2</v>
      </c>
      <c r="N45" s="732">
        <f>('CBS (Total)'!N43*'Performance &amp; Economics'!$G$143)/'CBS (CoE)'!N$2/10</f>
        <v>1.6497792959388438</v>
      </c>
      <c r="O45" s="728">
        <f t="shared" si="6"/>
        <v>6.6107290600145044E-2</v>
      </c>
      <c r="P45" s="732">
        <f>('CBS (Total)'!P43*'Performance &amp; Economics'!$G$143)/'CBS (CoE)'!P$2/10</f>
        <v>1.5767793637420637</v>
      </c>
      <c r="Q45" s="730">
        <f t="shared" si="7"/>
        <v>6.9622934840592607E-2</v>
      </c>
    </row>
    <row r="46" spans="1:18" s="486" customFormat="1" outlineLevel="1" x14ac:dyDescent="0.35">
      <c r="A46" s="72">
        <v>1.7</v>
      </c>
      <c r="C46" s="486" t="s">
        <v>47</v>
      </c>
      <c r="I46" s="81"/>
      <c r="J46" s="714">
        <f>('CBS (Total)'!J44*'Performance &amp; Economics'!$G$143)/'CBS (CoE)'!J$2/10</f>
        <v>79.915988474040248</v>
      </c>
      <c r="K46" s="88">
        <f t="shared" si="4"/>
        <v>0.43105459227870385</v>
      </c>
      <c r="L46" s="714">
        <f>('CBS (Total)'!L44*'Performance &amp; Economics'!$G$143)/'CBS (CoE)'!L$2/10</f>
        <v>13.924623299685598</v>
      </c>
      <c r="M46" s="88">
        <f t="shared" si="5"/>
        <v>0.29242330101837882</v>
      </c>
      <c r="N46" s="714">
        <f>('CBS (Total)'!N44*'Performance &amp; Economics'!$G$143)/'CBS (CoE)'!N$2/10</f>
        <v>7.6218966811096909</v>
      </c>
      <c r="O46" s="88">
        <f t="shared" si="6"/>
        <v>0.30541233003876739</v>
      </c>
      <c r="P46" s="714">
        <f>('CBS (Total)'!P44*'Performance &amp; Economics'!$G$143)/'CBS (CoE)'!P$2/10</f>
        <v>6.9352536332710759</v>
      </c>
      <c r="Q46" s="94">
        <f t="shared" si="7"/>
        <v>0.30622718873380839</v>
      </c>
    </row>
    <row r="47" spans="1:18" s="60" customFormat="1" outlineLevel="1" x14ac:dyDescent="0.35">
      <c r="A47" s="436" t="s">
        <v>73</v>
      </c>
      <c r="B47" s="544"/>
      <c r="C47" s="544"/>
      <c r="D47" s="544" t="s">
        <v>48</v>
      </c>
      <c r="E47" s="544"/>
      <c r="F47" s="544"/>
      <c r="G47" s="544"/>
      <c r="H47" s="544"/>
      <c r="I47" s="78"/>
      <c r="J47" s="715">
        <f>('CBS (Total)'!J45*'Performance &amp; Economics'!$G$143)/'CBS (CoE)'!J$2/10</f>
        <v>0.39262310115159071</v>
      </c>
      <c r="K47" s="707">
        <f t="shared" si="4"/>
        <v>2.1177488262073547E-3</v>
      </c>
      <c r="L47" s="715">
        <f>('CBS (Total)'!L45*'Performance &amp; Economics'!$G$143)/'CBS (CoE)'!L$2/10</f>
        <v>0.39262310115159071</v>
      </c>
      <c r="M47" s="707">
        <f t="shared" si="5"/>
        <v>8.2452602719538803E-3</v>
      </c>
      <c r="N47" s="715">
        <f>('CBS (Total)'!N45*'Performance &amp; Economics'!$G$143)/'CBS (CoE)'!N$2/10</f>
        <v>0.39262310115159077</v>
      </c>
      <c r="O47" s="707">
        <f t="shared" si="6"/>
        <v>1.5732558596201766E-2</v>
      </c>
      <c r="P47" s="715">
        <f>('CBS (Total)'!P45*'Performance &amp; Economics'!$G$143)/'CBS (CoE)'!P$2/10</f>
        <v>0.39262310115159077</v>
      </c>
      <c r="Q47" s="708">
        <f t="shared" si="7"/>
        <v>1.7336333298727948E-2</v>
      </c>
    </row>
    <row r="48" spans="1:18" s="60" customFormat="1" outlineLevel="1" x14ac:dyDescent="0.35">
      <c r="A48" s="436" t="s">
        <v>74</v>
      </c>
      <c r="B48" s="544"/>
      <c r="C48" s="544"/>
      <c r="D48" s="544" t="s">
        <v>49</v>
      </c>
      <c r="E48" s="544"/>
      <c r="F48" s="544"/>
      <c r="G48" s="544"/>
      <c r="H48" s="544"/>
      <c r="I48" s="78"/>
      <c r="J48" s="715">
        <f>('CBS (Total)'!J46*'Performance &amp; Economics'!$G$143)/'CBS (CoE)'!J$2/10</f>
        <v>8.8026759148944898</v>
      </c>
      <c r="K48" s="707">
        <f t="shared" si="4"/>
        <v>4.7480284607741383E-2</v>
      </c>
      <c r="L48" s="715">
        <f>('CBS (Total)'!L46*'Performance &amp; Economics'!$G$143)/'CBS (CoE)'!L$2/10</f>
        <v>1.0125056914403376</v>
      </c>
      <c r="M48" s="707">
        <f t="shared" si="5"/>
        <v>2.1263071195438715E-2</v>
      </c>
      <c r="N48" s="715">
        <f>('CBS (Total)'!N46*'Performance &amp; Economics'!$G$143)/'CBS (CoE)'!N$2/10</f>
        <v>0.20250113828806754</v>
      </c>
      <c r="O48" s="707">
        <f t="shared" si="6"/>
        <v>8.1142984571468887E-3</v>
      </c>
      <c r="P48" s="715">
        <f>('CBS (Total)'!P46*'Performance &amp; Economics'!$G$143)/'CBS (CoE)'!P$2/10</f>
        <v>0.20244834862740846</v>
      </c>
      <c r="Q48" s="708">
        <f t="shared" si="7"/>
        <v>8.9391379093272834E-3</v>
      </c>
    </row>
    <row r="49" spans="1:18" s="60" customFormat="1" outlineLevel="1" x14ac:dyDescent="0.35">
      <c r="A49" s="436" t="s">
        <v>75</v>
      </c>
      <c r="B49" s="544"/>
      <c r="C49" s="544"/>
      <c r="D49" s="544" t="s">
        <v>71</v>
      </c>
      <c r="E49" s="544"/>
      <c r="F49" s="544"/>
      <c r="G49" s="544"/>
      <c r="H49" s="544"/>
      <c r="I49" s="78"/>
      <c r="J49" s="715">
        <f>('CBS (Total)'!J47*'Performance &amp; Economics'!$G$143)/'CBS (CoE)'!J$2/10</f>
        <v>42.1503473264872</v>
      </c>
      <c r="K49" s="707">
        <f t="shared" si="4"/>
        <v>0.22735251265929984</v>
      </c>
      <c r="L49" s="715">
        <f>('CBS (Total)'!L47*'Performance &amp; Economics'!$G$143)/'CBS (CoE)'!L$2/10</f>
        <v>5.1530080292779754</v>
      </c>
      <c r="M49" s="707">
        <f t="shared" si="5"/>
        <v>0.10821546735341124</v>
      </c>
      <c r="N49" s="715">
        <f>('CBS (Total)'!N47*'Performance &amp; Economics'!$G$143)/'CBS (CoE)'!N$2/10</f>
        <v>1.8645204618381943</v>
      </c>
      <c r="O49" s="707">
        <f t="shared" si="6"/>
        <v>7.4712051669015053E-2</v>
      </c>
      <c r="P49" s="715">
        <f>('CBS (Total)'!P47*'Performance &amp; Economics'!$G$143)/'CBS (CoE)'!P$2/10</f>
        <v>1.4534595159082218</v>
      </c>
      <c r="Q49" s="708">
        <f t="shared" si="7"/>
        <v>6.41777280299764E-2</v>
      </c>
    </row>
    <row r="50" spans="1:18" s="60" customFormat="1" outlineLevel="1" x14ac:dyDescent="0.35">
      <c r="A50" s="436" t="s">
        <v>76</v>
      </c>
      <c r="B50" s="544"/>
      <c r="C50" s="544"/>
      <c r="D50" s="544" t="s">
        <v>252</v>
      </c>
      <c r="E50" s="544"/>
      <c r="F50" s="544"/>
      <c r="G50" s="544"/>
      <c r="H50" s="544"/>
      <c r="I50" s="78"/>
      <c r="J50" s="715">
        <f>('CBS (Total)'!J48*'Performance &amp; Economics'!$G$143)/'CBS (CoE)'!J$2/10</f>
        <v>19.895549169558993</v>
      </c>
      <c r="K50" s="707">
        <f t="shared" si="4"/>
        <v>0.10731354262396429</v>
      </c>
      <c r="L50" s="715">
        <f>('CBS (Total)'!L48*'Performance &amp; Economics'!$G$143)/'CBS (CoE)'!L$2/10</f>
        <v>3.0092278870187448</v>
      </c>
      <c r="M50" s="707">
        <f t="shared" si="5"/>
        <v>6.3195128033262563E-2</v>
      </c>
      <c r="N50" s="715">
        <f>('CBS (Total)'!N48*'Performance &amp; Economics'!$G$143)/'CBS (CoE)'!N$2/10</f>
        <v>1.1887742220260915</v>
      </c>
      <c r="O50" s="707">
        <f t="shared" si="6"/>
        <v>4.7634640067851439E-2</v>
      </c>
      <c r="P50" s="715">
        <f>('CBS (Total)'!P48*'Performance &amp; Economics'!$G$143)/'CBS (CoE)'!P$2/10</f>
        <v>0.96121751390200993</v>
      </c>
      <c r="Q50" s="708">
        <f t="shared" si="7"/>
        <v>4.2442706872579013E-2</v>
      </c>
    </row>
    <row r="51" spans="1:18" s="60" customFormat="1" outlineLevel="1" x14ac:dyDescent="0.35">
      <c r="A51" s="436" t="s">
        <v>77</v>
      </c>
      <c r="B51" s="544"/>
      <c r="C51" s="544"/>
      <c r="D51" s="544" t="s">
        <v>50</v>
      </c>
      <c r="E51" s="544"/>
      <c r="F51" s="544"/>
      <c r="G51" s="544"/>
      <c r="H51" s="544"/>
      <c r="I51" s="78"/>
      <c r="J51" s="715">
        <f>('CBS (Total)'!J49*'Performance &amp; Economics'!$G$143)/'CBS (CoE)'!J$2/10</f>
        <v>4.3373964809739842</v>
      </c>
      <c r="K51" s="707">
        <f t="shared" si="4"/>
        <v>2.3395251780745484E-2</v>
      </c>
      <c r="L51" s="715">
        <f>('CBS (Total)'!L49*'Performance &amp; Economics'!$G$143)/'CBS (CoE)'!L$2/10</f>
        <v>2.1786292953984736</v>
      </c>
      <c r="M51" s="707">
        <f t="shared" si="5"/>
        <v>4.5752187082156177E-2</v>
      </c>
      <c r="N51" s="715">
        <f>('CBS (Total)'!N49*'Performance &amp; Economics'!$G$143)/'CBS (CoE)'!N$2/10</f>
        <v>1.986738878902873</v>
      </c>
      <c r="O51" s="707">
        <f t="shared" si="6"/>
        <v>7.9609390624276105E-2</v>
      </c>
      <c r="P51" s="715">
        <f>('CBS (Total)'!P49*'Performance &amp; Economics'!$G$143)/'CBS (CoE)'!P$2/10</f>
        <v>1.9627525768409229</v>
      </c>
      <c r="Q51" s="708">
        <f t="shared" si="7"/>
        <v>8.6665641311598887E-2</v>
      </c>
    </row>
    <row r="52" spans="1:18" s="81" customFormat="1" x14ac:dyDescent="0.35">
      <c r="A52" s="436" t="s">
        <v>78</v>
      </c>
      <c r="B52" s="544"/>
      <c r="C52" s="544"/>
      <c r="D52" s="544" t="s">
        <v>51</v>
      </c>
      <c r="E52" s="544"/>
      <c r="F52" s="544"/>
      <c r="G52" s="544"/>
      <c r="H52" s="544"/>
      <c r="J52" s="715">
        <f>('CBS (Total)'!J50*'Performance &amp; Economics'!$G$143)/'CBS (CoE)'!J$2/10</f>
        <v>4.3373964809739842</v>
      </c>
      <c r="K52" s="707">
        <f t="shared" si="4"/>
        <v>2.3395251780745484E-2</v>
      </c>
      <c r="L52" s="715">
        <f>('CBS (Total)'!L50*'Performance &amp; Economics'!$G$143)/'CBS (CoE)'!L$2/10</f>
        <v>2.1786292953984736</v>
      </c>
      <c r="M52" s="707">
        <f t="shared" si="5"/>
        <v>4.5752187082156177E-2</v>
      </c>
      <c r="N52" s="715">
        <f>('CBS (Total)'!N50*'Performance &amp; Economics'!$G$143)/'CBS (CoE)'!N$2/10</f>
        <v>1.986738878902873</v>
      </c>
      <c r="O52" s="707">
        <f t="shared" si="6"/>
        <v>7.9609390624276105E-2</v>
      </c>
      <c r="P52" s="715">
        <f>('CBS (Total)'!P50*'Performance &amp; Economics'!$G$143)/'CBS (CoE)'!P$2/10</f>
        <v>1.9627525768409229</v>
      </c>
      <c r="Q52" s="708">
        <f t="shared" si="7"/>
        <v>8.6665641311598887E-2</v>
      </c>
    </row>
    <row r="53" spans="1:18" s="81" customFormat="1" x14ac:dyDescent="0.35">
      <c r="A53" s="96">
        <v>1.8</v>
      </c>
      <c r="C53" s="81" t="s">
        <v>140</v>
      </c>
      <c r="J53" s="714">
        <v>0</v>
      </c>
      <c r="K53" s="88">
        <f t="shared" si="4"/>
        <v>0</v>
      </c>
      <c r="L53" s="714">
        <v>0</v>
      </c>
      <c r="M53" s="88">
        <f t="shared" si="5"/>
        <v>0</v>
      </c>
      <c r="N53" s="714">
        <v>0</v>
      </c>
      <c r="O53" s="88">
        <f t="shared" si="6"/>
        <v>0</v>
      </c>
      <c r="P53" s="714">
        <v>0</v>
      </c>
      <c r="Q53" s="94">
        <f t="shared" si="7"/>
        <v>0</v>
      </c>
    </row>
    <row r="54" spans="1:18" s="486" customFormat="1" outlineLevel="1" x14ac:dyDescent="0.35">
      <c r="A54" s="717">
        <v>1.9</v>
      </c>
      <c r="B54" s="81"/>
      <c r="C54" s="81" t="s">
        <v>138</v>
      </c>
      <c r="D54" s="81"/>
      <c r="E54" s="81"/>
      <c r="F54" s="81"/>
      <c r="G54" s="81"/>
      <c r="H54" s="81"/>
      <c r="I54" s="81"/>
      <c r="J54" s="714">
        <f>('CBS (Total)'!J52*'Performance &amp; Economics'!$G$143)/'CBS (CoE)'!J$2/10</f>
        <v>16.854222159821113</v>
      </c>
      <c r="K54" s="692">
        <f t="shared" si="4"/>
        <v>9.0909090909090898E-2</v>
      </c>
      <c r="L54" s="714">
        <f>('CBS (Total)'!L52*'Performance &amp; Economics'!$G$143)/'CBS (CoE)'!L$2/10</f>
        <v>4.3289123712696327</v>
      </c>
      <c r="M54" s="692">
        <f t="shared" si="5"/>
        <v>9.0909090909090939E-2</v>
      </c>
      <c r="N54" s="714">
        <f>('CBS (Total)'!N52*'Performance &amp; Economics'!$G$143)/'CBS (CoE)'!N$2/10</f>
        <v>2.2687351823508446</v>
      </c>
      <c r="O54" s="692">
        <f t="shared" si="6"/>
        <v>9.0909090909090912E-2</v>
      </c>
      <c r="P54" s="714">
        <f>('CBS (Total)'!P52*'Performance &amp; Economics'!$G$143)/'CBS (CoE)'!P$2/10</f>
        <v>2.0588557326720371</v>
      </c>
      <c r="Q54" s="695">
        <f t="shared" si="7"/>
        <v>9.0909090909090912E-2</v>
      </c>
      <c r="R54" s="81"/>
    </row>
    <row r="55" spans="1:18" outlineLevel="1" x14ac:dyDescent="0.35">
      <c r="A55" s="436"/>
      <c r="B55" s="544"/>
      <c r="C55" s="544"/>
      <c r="D55" s="544"/>
      <c r="E55" s="544"/>
      <c r="F55" s="544"/>
      <c r="G55" s="544"/>
      <c r="H55" s="544"/>
      <c r="I55" s="81"/>
      <c r="J55" s="163"/>
      <c r="K55" s="88"/>
      <c r="L55" s="163"/>
      <c r="M55" s="88"/>
      <c r="N55" s="163"/>
      <c r="O55" s="88"/>
      <c r="P55" s="163"/>
      <c r="Q55" s="94"/>
      <c r="R55" s="486"/>
    </row>
    <row r="56" spans="1:18" outlineLevel="1" x14ac:dyDescent="0.35">
      <c r="A56" s="713" t="s">
        <v>484</v>
      </c>
      <c r="B56" s="156"/>
      <c r="C56" s="156"/>
      <c r="D56" s="156"/>
      <c r="E56" s="156"/>
      <c r="F56" s="156"/>
      <c r="G56" s="156"/>
      <c r="H56" s="156"/>
      <c r="I56" s="683">
        <f>I31+I26</f>
        <v>232.33644986848074</v>
      </c>
      <c r="J56" s="166">
        <f>('CBS (Total)'!J54*'Performance &amp; Economics'!$G$143)/'CBS (CoE)'!J$2/10</f>
        <v>185.39644375803226</v>
      </c>
      <c r="K56" s="160">
        <f t="shared" ref="K56" si="8">J56/$J$56</f>
        <v>1</v>
      </c>
      <c r="L56" s="166">
        <f>('CBS (Total)'!L54*'Performance &amp; Economics'!$G$143)/'CBS (CoE)'!L$2/10</f>
        <v>47.618036083965947</v>
      </c>
      <c r="M56" s="160">
        <f t="shared" ref="M56" si="9">L56/$L$56</f>
        <v>1</v>
      </c>
      <c r="N56" s="166">
        <f>('CBS (Total)'!N54*'Performance &amp; Economics'!$G$143)/'CBS (CoE)'!N$2/10</f>
        <v>24.956087005859288</v>
      </c>
      <c r="O56" s="160">
        <f t="shared" ref="O56" si="10">N56/$N$56</f>
        <v>1</v>
      </c>
      <c r="P56" s="166">
        <f>('CBS (Total)'!P54*'Performance &amp; Economics'!$G$143)/'CBS (CoE)'!P$2/10</f>
        <v>22.647413059392409</v>
      </c>
      <c r="Q56" s="161">
        <f t="shared" ref="Q56" si="11">P56/$P$56</f>
        <v>1</v>
      </c>
    </row>
    <row r="57" spans="1:18" s="59" customFormat="1" x14ac:dyDescent="0.35">
      <c r="I57" s="61"/>
      <c r="J57" s="163"/>
      <c r="K57" s="86"/>
      <c r="L57" s="163"/>
      <c r="M57" s="86"/>
      <c r="N57" s="163"/>
      <c r="O57" s="86"/>
      <c r="P57" s="163"/>
      <c r="Q57" s="61"/>
      <c r="R57" s="71"/>
    </row>
    <row r="58" spans="1:18" s="60" customFormat="1" outlineLevel="1" x14ac:dyDescent="0.35">
      <c r="A58" s="72">
        <v>2</v>
      </c>
      <c r="B58" s="59" t="s">
        <v>58</v>
      </c>
      <c r="C58" s="59"/>
      <c r="D58" s="59"/>
      <c r="E58" s="59"/>
      <c r="F58" s="59"/>
      <c r="G58" s="59"/>
      <c r="H58" s="59"/>
      <c r="I58" s="81"/>
      <c r="J58" s="163">
        <f>('CBS (Total)'!J56)/'CBS (CoE)'!J$2/10</f>
        <v>134.92319496052482</v>
      </c>
      <c r="K58" s="94">
        <f>J58/$J$56</f>
        <v>0.72775503254322427</v>
      </c>
      <c r="L58" s="163">
        <f>('CBS (Total)'!L56)/'CBS (CoE)'!L$2/10</f>
        <v>34.498987860566316</v>
      </c>
      <c r="M58" s="94">
        <f>L58/$L$56</f>
        <v>0.7244941349478059</v>
      </c>
      <c r="N58" s="163">
        <f>('CBS (Total)'!N56)/'CBS (CoE)'!N$2/10</f>
        <v>13.38997740315293</v>
      </c>
      <c r="O58" s="94">
        <f>N58/$N$56</f>
        <v>0.53654154194963244</v>
      </c>
      <c r="P58" s="163">
        <f>('CBS (Total)'!P56)/'CBS (CoE)'!P$2/10</f>
        <v>10.236416754739327</v>
      </c>
      <c r="Q58" s="94">
        <f>P58/$P$56</f>
        <v>0.45199055308853681</v>
      </c>
      <c r="R58" s="59"/>
    </row>
    <row r="59" spans="1:18" s="60" customFormat="1" outlineLevel="1" x14ac:dyDescent="0.35">
      <c r="A59" s="83">
        <v>2.1</v>
      </c>
      <c r="C59" s="60" t="s">
        <v>52</v>
      </c>
      <c r="I59" s="78"/>
      <c r="J59" s="164">
        <f>('CBS (Total)'!J57)/'CBS (CoE)'!J$2/10</f>
        <v>20.446833917307046</v>
      </c>
      <c r="K59" s="93">
        <f t="shared" ref="K59:K64" si="12">J59/$J$56</f>
        <v>0.11028708805220107</v>
      </c>
      <c r="L59" s="164">
        <f>('CBS (Total)'!L57)/'CBS (CoE)'!L$2/10</f>
        <v>6.0345859511330335</v>
      </c>
      <c r="M59" s="93">
        <f t="shared" ref="M59:M64" si="13">L59/$L$56</f>
        <v>0.12672899698114626</v>
      </c>
      <c r="N59" s="164">
        <f>('CBS (Total)'!N57)/'CBS (CoE)'!N$2/10</f>
        <v>1.8807988580892701</v>
      </c>
      <c r="O59" s="93">
        <f t="shared" ref="O59:O64" si="14">N59/$N$56</f>
        <v>7.5364333264573438E-2</v>
      </c>
      <c r="P59" s="164">
        <f>('CBS (Total)'!P57)/'CBS (CoE)'!P$2/10</f>
        <v>0.89906357242041568</v>
      </c>
      <c r="Q59" s="93">
        <f t="shared" ref="Q59:Q64" si="15">P59/$P$56</f>
        <v>3.9698290045871401E-2</v>
      </c>
    </row>
    <row r="60" spans="1:18" s="60" customFormat="1" outlineLevel="1" x14ac:dyDescent="0.35">
      <c r="A60" s="83">
        <v>2.2000000000000002</v>
      </c>
      <c r="C60" s="60" t="s">
        <v>53</v>
      </c>
      <c r="I60" s="78"/>
      <c r="J60" s="164">
        <f>('CBS (Total)'!J58)/'CBS (CoE)'!J$2/10</f>
        <v>86.760784879436486</v>
      </c>
      <c r="K60" s="93">
        <f t="shared" si="12"/>
        <v>0.467974374916658</v>
      </c>
      <c r="L60" s="164">
        <f>('CBS (Total)'!L58)/'CBS (CoE)'!L$2/10</f>
        <v>13.698428147865958</v>
      </c>
      <c r="M60" s="93">
        <f t="shared" si="13"/>
        <v>0.28767310192531276</v>
      </c>
      <c r="N60" s="164">
        <f>('CBS (Total)'!N58)/'CBS (CoE)'!N$2/10</f>
        <v>2.7396856295731915</v>
      </c>
      <c r="O60" s="93">
        <f t="shared" si="14"/>
        <v>0.10978025637312282</v>
      </c>
      <c r="P60" s="164">
        <f>('CBS (Total)'!P58)/'CBS (CoE)'!P$2/10</f>
        <v>1.3698428147865958</v>
      </c>
      <c r="Q60" s="93">
        <f t="shared" si="15"/>
        <v>6.0485619756844147E-2</v>
      </c>
      <c r="R60" s="86"/>
    </row>
    <row r="61" spans="1:18" s="60" customFormat="1" outlineLevel="1" x14ac:dyDescent="0.35">
      <c r="A61" s="83">
        <v>2.2999999999999998</v>
      </c>
      <c r="C61" s="60" t="s">
        <v>54</v>
      </c>
      <c r="I61" s="78"/>
      <c r="J61" s="164">
        <f>('CBS (Total)'!J59)/'CBS (CoE)'!J$2/10</f>
        <v>3.2466863288193637</v>
      </c>
      <c r="K61" s="93">
        <f t="shared" si="12"/>
        <v>1.7512128404451672E-2</v>
      </c>
      <c r="L61" s="164">
        <f>('CBS (Total)'!L59)/'CBS (CoE)'!L$2/10</f>
        <v>3.2466863288193637</v>
      </c>
      <c r="M61" s="93">
        <f t="shared" si="13"/>
        <v>6.8181861240442787E-2</v>
      </c>
      <c r="N61" s="164">
        <f>('CBS (Total)'!N59)/'CBS (CoE)'!N$2/10</f>
        <v>1.3742908324902738</v>
      </c>
      <c r="O61" s="93">
        <f t="shared" si="14"/>
        <v>5.506836196586478E-2</v>
      </c>
      <c r="P61" s="164">
        <f>('CBS (Total)'!P59)/'CBS (CoE)'!P$2/10</f>
        <v>1.3742908324902738</v>
      </c>
      <c r="Q61" s="93">
        <f t="shared" si="15"/>
        <v>6.0682022661317753E-2</v>
      </c>
      <c r="R61" s="153"/>
    </row>
    <row r="62" spans="1:18" s="60" customFormat="1" outlineLevel="1" x14ac:dyDescent="0.35">
      <c r="A62" s="83">
        <v>2.4</v>
      </c>
      <c r="C62" s="60" t="s">
        <v>55</v>
      </c>
      <c r="I62" s="78"/>
      <c r="J62" s="164">
        <f>('CBS (Total)'!J60)/'CBS (CoE)'!J$2/10</f>
        <v>17.29851192720832</v>
      </c>
      <c r="K62" s="93">
        <f t="shared" si="12"/>
        <v>9.3305521813488751E-2</v>
      </c>
      <c r="L62" s="164">
        <f>('CBS (Total)'!L60)/'CBS (CoE)'!L$2/10</f>
        <v>4.8871494734566632</v>
      </c>
      <c r="M62" s="93">
        <f t="shared" si="13"/>
        <v>0.1026323190826065</v>
      </c>
      <c r="N62" s="164">
        <f>('CBS (Total)'!N60)/'CBS (CoE)'!N$2/10</f>
        <v>1.1112516844619926</v>
      </c>
      <c r="O62" s="93">
        <f t="shared" si="14"/>
        <v>4.452828218626937E-2</v>
      </c>
      <c r="P62" s="164">
        <f>('CBS (Total)'!P60)/'CBS (CoE)'!P$2/10</f>
        <v>0.82439120206132055</v>
      </c>
      <c r="Q62" s="93">
        <f t="shared" si="15"/>
        <v>3.6401120070507408E-2</v>
      </c>
    </row>
    <row r="63" spans="1:18" s="60" customFormat="1" outlineLevel="1" x14ac:dyDescent="0.35">
      <c r="A63" s="165">
        <v>2.5</v>
      </c>
      <c r="C63" s="60" t="s">
        <v>56</v>
      </c>
      <c r="I63" s="78"/>
      <c r="J63" s="164">
        <f>('CBS (Total)'!J61)/'CBS (CoE)'!J$2/10</f>
        <v>6.1927915992529039</v>
      </c>
      <c r="K63" s="93">
        <f t="shared" si="12"/>
        <v>3.3402968653138486E-2</v>
      </c>
      <c r="L63" s="164">
        <f>('CBS (Total)'!L61)/'CBS (CoE)'!L$2/10</f>
        <v>5.6545516507906095</v>
      </c>
      <c r="M63" s="93">
        <f>L63/$L$56</f>
        <v>0.11874810714200418</v>
      </c>
      <c r="N63" s="164">
        <f>('CBS (Total)'!N61)/'CBS (CoE)'!N$2/10</f>
        <v>5.3063640900375093</v>
      </c>
      <c r="O63" s="93">
        <f t="shared" si="14"/>
        <v>0.21262804897224713</v>
      </c>
      <c r="P63" s="164">
        <f>('CBS (Total)'!P61)/'CBS (CoE)'!P$2/10</f>
        <v>4.7912420244800291</v>
      </c>
      <c r="Q63" s="93">
        <f t="shared" si="15"/>
        <v>0.21155802704331342</v>
      </c>
    </row>
    <row r="64" spans="1:18" x14ac:dyDescent="0.35">
      <c r="A64" s="83">
        <v>2.6</v>
      </c>
      <c r="B64" s="60"/>
      <c r="C64" s="60" t="s">
        <v>57</v>
      </c>
      <c r="D64" s="60"/>
      <c r="E64" s="60"/>
      <c r="F64" s="60"/>
      <c r="G64" s="60"/>
      <c r="H64" s="60"/>
      <c r="I64" s="78"/>
      <c r="J64" s="164">
        <f>('CBS (Total)'!J62)/'CBS (CoE)'!J$2/10</f>
        <v>0.97758630850069284</v>
      </c>
      <c r="K64" s="93">
        <f t="shared" si="12"/>
        <v>5.2729507032862871E-3</v>
      </c>
      <c r="L64" s="164">
        <f>('CBS (Total)'!L62)/'CBS (CoE)'!L$2/10</f>
        <v>0.97758630850069284</v>
      </c>
      <c r="M64" s="93">
        <f t="shared" si="13"/>
        <v>2.052974857629351E-2</v>
      </c>
      <c r="N64" s="164">
        <f>('CBS (Total)'!N62)/'CBS (CoE)'!N$2/10</f>
        <v>0.97758630850069284</v>
      </c>
      <c r="O64" s="93">
        <f t="shared" si="14"/>
        <v>3.9172259187554972E-2</v>
      </c>
      <c r="P64" s="164">
        <f>('CBS (Total)'!P62)/'CBS (CoE)'!P$2/10</f>
        <v>0.97758630850069284</v>
      </c>
      <c r="Q64" s="93">
        <f t="shared" si="15"/>
        <v>4.3165473510682714E-2</v>
      </c>
      <c r="R64" s="60"/>
    </row>
    <row r="65" spans="1:18" s="59" customFormat="1" x14ac:dyDescent="0.35">
      <c r="A65" s="38"/>
      <c r="B65" s="71"/>
      <c r="C65" s="71"/>
      <c r="D65" s="71"/>
      <c r="E65" s="71"/>
      <c r="F65" s="71"/>
      <c r="G65" s="71"/>
      <c r="H65" s="71"/>
      <c r="I65" s="61"/>
      <c r="J65" s="163"/>
      <c r="K65" s="78"/>
      <c r="L65" s="163"/>
      <c r="M65" s="78"/>
      <c r="N65" s="163"/>
      <c r="O65" s="78"/>
      <c r="P65" s="163"/>
      <c r="Q65" s="61"/>
      <c r="R65" s="71"/>
    </row>
    <row r="66" spans="1:18" x14ac:dyDescent="0.35">
      <c r="A66" s="155" t="s">
        <v>205</v>
      </c>
      <c r="B66" s="156"/>
      <c r="C66" s="156"/>
      <c r="D66" s="156"/>
      <c r="E66" s="156"/>
      <c r="F66" s="156"/>
      <c r="G66" s="156"/>
      <c r="H66" s="156"/>
      <c r="I66" s="156"/>
      <c r="J66" s="166">
        <f>('CBS (Total)'!J64)/'CBS (CoE)'!J$2/10</f>
        <v>134.92319496052482</v>
      </c>
      <c r="K66" s="158">
        <f t="shared" ref="K66:Q66" si="16">SUM(K59:K64)</f>
        <v>0.72775503254322427</v>
      </c>
      <c r="L66" s="166">
        <f>('CBS (Total)'!L64)/'CBS (CoE)'!L$2/10</f>
        <v>34.498987860566316</v>
      </c>
      <c r="M66" s="158">
        <f t="shared" si="16"/>
        <v>0.72449413494780612</v>
      </c>
      <c r="N66" s="166">
        <f>('CBS (Total)'!N64)/'CBS (CoE)'!N$2/10</f>
        <v>13.38997740315293</v>
      </c>
      <c r="O66" s="158">
        <f t="shared" si="16"/>
        <v>0.53654154194963255</v>
      </c>
      <c r="P66" s="166">
        <f>('CBS (Total)'!P64)/'CBS (CoE)'!P$2/10</f>
        <v>10.236416754739327</v>
      </c>
      <c r="Q66" s="158">
        <f t="shared" si="16"/>
        <v>0.45199055308853686</v>
      </c>
      <c r="R66" s="59"/>
    </row>
    <row r="67" spans="1:18" x14ac:dyDescent="0.35">
      <c r="J67" s="4"/>
      <c r="K67" s="86"/>
      <c r="L67" s="4"/>
      <c r="M67" s="86"/>
      <c r="N67" s="4"/>
      <c r="O67" s="86"/>
      <c r="P67" s="4"/>
    </row>
    <row r="68" spans="1:18" x14ac:dyDescent="0.35">
      <c r="J68" s="61"/>
      <c r="K68" s="78"/>
      <c r="L68" s="735"/>
      <c r="M68" s="78"/>
      <c r="N68" s="61"/>
      <c r="O68" s="78"/>
      <c r="P68" s="61"/>
    </row>
  </sheetData>
  <mergeCells count="1">
    <mergeCell ref="J3:P3"/>
  </mergeCells>
  <pageMargins left="0.7" right="0.7" top="0.75" bottom="0.75" header="0.3" footer="0.3"/>
  <pageSetup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6"/>
  <sheetViews>
    <sheetView zoomScale="80" zoomScaleNormal="80" workbookViewId="0">
      <pane xSplit="8" ySplit="2" topLeftCell="J28" activePane="bottomRight" state="frozen"/>
      <selection pane="topRight" activeCell="I1" sqref="I1"/>
      <selection pane="bottomLeft" activeCell="A3" sqref="A3"/>
      <selection pane="bottomRight" activeCell="P54" sqref="P54"/>
    </sheetView>
  </sheetViews>
  <sheetFormatPr defaultRowHeight="14.5" outlineLevelRow="2" x14ac:dyDescent="0.35"/>
  <cols>
    <col min="1" max="1" width="8.453125" style="1" customWidth="1"/>
    <col min="2" max="2" width="3.90625" customWidth="1"/>
    <col min="3" max="4" width="4.08984375" customWidth="1"/>
    <col min="8" max="8" width="20.36328125" customWidth="1"/>
    <col min="9" max="9" width="20.36328125" style="12" customWidth="1"/>
    <col min="10" max="10" width="19.54296875" bestFit="1" customWidth="1"/>
    <col min="11" max="11" width="10.08984375" style="60" customWidth="1"/>
    <col min="12" max="12" width="20.453125" bestFit="1" customWidth="1"/>
    <col min="13" max="13" width="10.08984375" style="60" customWidth="1"/>
    <col min="14" max="14" width="22.6328125" bestFit="1" customWidth="1"/>
    <col min="15" max="15" width="11.54296875" style="60" customWidth="1"/>
    <col min="16" max="16" width="22.6328125" customWidth="1"/>
    <col min="17" max="17" width="11" customWidth="1"/>
    <col min="18" max="18" width="17.08984375" bestFit="1" customWidth="1"/>
    <col min="19" max="19" width="16.90625" bestFit="1" customWidth="1"/>
    <col min="20" max="22" width="13.36328125" bestFit="1" customWidth="1"/>
    <col min="23" max="23" width="15" bestFit="1" customWidth="1"/>
    <col min="24" max="24" width="11.08984375" bestFit="1" customWidth="1"/>
  </cols>
  <sheetData>
    <row r="1" spans="1:19" x14ac:dyDescent="0.35">
      <c r="A1" s="3" t="s">
        <v>273</v>
      </c>
      <c r="I1" s="59"/>
      <c r="J1" s="903" t="s">
        <v>66</v>
      </c>
      <c r="K1" s="903"/>
      <c r="L1" s="903"/>
      <c r="M1" s="903"/>
      <c r="N1" s="903"/>
      <c r="O1" s="903"/>
      <c r="P1" s="903"/>
      <c r="Q1" s="59"/>
    </row>
    <row r="2" spans="1:19" x14ac:dyDescent="0.35">
      <c r="I2" s="59" t="s">
        <v>109</v>
      </c>
      <c r="J2" s="59">
        <v>1</v>
      </c>
      <c r="K2" s="99" t="s">
        <v>141</v>
      </c>
      <c r="L2" s="59">
        <v>10</v>
      </c>
      <c r="M2" s="99" t="s">
        <v>141</v>
      </c>
      <c r="N2" s="59">
        <v>50</v>
      </c>
      <c r="O2" s="99" t="s">
        <v>142</v>
      </c>
      <c r="P2" s="59">
        <v>100</v>
      </c>
      <c r="Q2" s="99" t="s">
        <v>142</v>
      </c>
      <c r="R2" s="59"/>
      <c r="S2" s="72"/>
    </row>
    <row r="3" spans="1:19" s="59" customFormat="1" x14ac:dyDescent="0.35">
      <c r="A3" s="72">
        <v>1</v>
      </c>
      <c r="B3" s="59" t="s">
        <v>0</v>
      </c>
      <c r="J3" s="90"/>
      <c r="K3" s="90"/>
      <c r="L3" s="90"/>
      <c r="M3" s="90"/>
      <c r="N3" s="90"/>
      <c r="O3" s="90"/>
      <c r="P3" s="90"/>
    </row>
    <row r="4" spans="1:19" s="59" customFormat="1" x14ac:dyDescent="0.35">
      <c r="A4" s="72">
        <v>1.1000000000000001</v>
      </c>
      <c r="C4" s="59" t="s">
        <v>98</v>
      </c>
      <c r="J4" s="385">
        <f>J5+J10+J11</f>
        <v>4404598.7580942353</v>
      </c>
      <c r="K4" s="88">
        <f t="shared" ref="K4:K35" si="0">J4/$J$54</f>
        <v>0.31354063360902323</v>
      </c>
      <c r="L4" s="385">
        <f>L5+L10+L11</f>
        <v>8109436.1607689029</v>
      </c>
      <c r="M4" s="88">
        <f t="shared" ref="M4:M35" si="1">L4/$L$54</f>
        <v>0.22475432539271945</v>
      </c>
      <c r="N4" s="385">
        <f>N5+N10+N11</f>
        <v>8996929.0444293991</v>
      </c>
      <c r="O4" s="88">
        <f t="shared" ref="O4:O35" si="2">N4/$N$54</f>
        <v>9.5156109833516037E-2</v>
      </c>
      <c r="P4" s="385">
        <f>P5+P10+P11</f>
        <v>8856159.6937584765</v>
      </c>
      <c r="Q4" s="94">
        <f t="shared" ref="Q4:Q35" si="3">P4/$P$54</f>
        <v>5.1607844100086508E-2</v>
      </c>
      <c r="R4" s="120"/>
      <c r="S4" s="120"/>
    </row>
    <row r="5" spans="1:19" outlineLevel="1" x14ac:dyDescent="0.35">
      <c r="A5" s="1" t="s">
        <v>2</v>
      </c>
      <c r="D5" t="s">
        <v>1</v>
      </c>
      <c r="J5" s="691">
        <f>SUM(J6:J9)</f>
        <v>3602500</v>
      </c>
      <c r="K5" s="693">
        <f t="shared" si="0"/>
        <v>0.25644336626594949</v>
      </c>
      <c r="L5" s="691">
        <f>SUM(L6:L9)</f>
        <v>6860000</v>
      </c>
      <c r="M5" s="693">
        <f t="shared" si="1"/>
        <v>0.19012600156505419</v>
      </c>
      <c r="N5" s="691">
        <f>SUM(N6:N9)</f>
        <v>7017500</v>
      </c>
      <c r="O5" s="693">
        <f t="shared" si="2"/>
        <v>7.4220658789140109E-2</v>
      </c>
      <c r="P5" s="691">
        <f>SUM(P6:P9)</f>
        <v>7017500</v>
      </c>
      <c r="Q5" s="694">
        <f t="shared" si="3"/>
        <v>4.0893350898764155E-2</v>
      </c>
      <c r="R5" s="64"/>
    </row>
    <row r="6" spans="1:19" outlineLevel="2" x14ac:dyDescent="0.35">
      <c r="A6" s="1" t="s">
        <v>99</v>
      </c>
      <c r="E6" t="s">
        <v>3</v>
      </c>
      <c r="I6" s="61"/>
      <c r="J6" s="201">
        <f>'1.1'!E5</f>
        <v>335000</v>
      </c>
      <c r="K6" s="92">
        <f t="shared" si="0"/>
        <v>2.3846919555612234E-2</v>
      </c>
      <c r="L6" s="419">
        <f>'1.1'!F5</f>
        <v>425000</v>
      </c>
      <c r="M6" s="92">
        <f t="shared" si="1"/>
        <v>1.1778943245648401E-2</v>
      </c>
      <c r="N6" s="419">
        <f>'1.1'!G5</f>
        <v>425000</v>
      </c>
      <c r="O6" s="92">
        <f t="shared" si="2"/>
        <v>4.4950167417719339E-3</v>
      </c>
      <c r="P6" s="419">
        <f>'1.1'!H5</f>
        <v>425000</v>
      </c>
      <c r="Q6" s="89">
        <f t="shared" si="3"/>
        <v>2.4766190426754207E-3</v>
      </c>
    </row>
    <row r="7" spans="1:19" outlineLevel="2" x14ac:dyDescent="0.35">
      <c r="A7" s="1" t="s">
        <v>100</v>
      </c>
      <c r="E7" t="s">
        <v>5</v>
      </c>
      <c r="I7" s="61"/>
      <c r="J7" s="419">
        <f>'1.1'!E6</f>
        <v>1632500</v>
      </c>
      <c r="K7" s="92">
        <f t="shared" si="0"/>
        <v>0.11620924231205067</v>
      </c>
      <c r="L7" s="419">
        <f>'1.1'!F6</f>
        <v>2850000</v>
      </c>
      <c r="M7" s="92">
        <f t="shared" si="1"/>
        <v>7.8988207647289269E-2</v>
      </c>
      <c r="N7" s="419">
        <f>'1.1'!G6</f>
        <v>2782500</v>
      </c>
      <c r="O7" s="92">
        <f t="shared" si="2"/>
        <v>2.9429139021130368E-2</v>
      </c>
      <c r="P7" s="419">
        <f>'1.1'!H6</f>
        <v>2782500</v>
      </c>
      <c r="Q7" s="89">
        <f t="shared" si="3"/>
        <v>1.6214570555869078E-2</v>
      </c>
      <c r="R7" s="64"/>
    </row>
    <row r="8" spans="1:19" outlineLevel="2" x14ac:dyDescent="0.35">
      <c r="A8" s="1" t="s">
        <v>101</v>
      </c>
      <c r="E8" t="s">
        <v>7</v>
      </c>
      <c r="I8" s="61"/>
      <c r="J8" s="419">
        <f>'1.1'!E7</f>
        <v>710000</v>
      </c>
      <c r="K8" s="92">
        <f t="shared" si="0"/>
        <v>5.0541232490999066E-2</v>
      </c>
      <c r="L8" s="419">
        <f>'1.1'!F7</f>
        <v>2270000</v>
      </c>
      <c r="M8" s="92">
        <f t="shared" si="1"/>
        <v>6.2913414512051458E-2</v>
      </c>
      <c r="N8" s="419">
        <f>'1.1'!G7</f>
        <v>2270000</v>
      </c>
      <c r="O8" s="92">
        <f t="shared" si="2"/>
        <v>2.4008677656052448E-2</v>
      </c>
      <c r="P8" s="419">
        <f>'1.1'!H7</f>
        <v>2270000</v>
      </c>
      <c r="Q8" s="89">
        <f t="shared" si="3"/>
        <v>1.3228059357348717E-2</v>
      </c>
    </row>
    <row r="9" spans="1:19" outlineLevel="2" x14ac:dyDescent="0.35">
      <c r="A9" s="1" t="s">
        <v>102</v>
      </c>
      <c r="E9" t="s">
        <v>8</v>
      </c>
      <c r="I9" s="61"/>
      <c r="J9" s="419">
        <f>'1.1'!E8</f>
        <v>925000</v>
      </c>
      <c r="K9" s="92">
        <f t="shared" si="0"/>
        <v>6.5845971907287512E-2</v>
      </c>
      <c r="L9" s="419">
        <f>'1.1'!F8</f>
        <v>1315000</v>
      </c>
      <c r="M9" s="92">
        <f t="shared" si="1"/>
        <v>3.6445436160065049E-2</v>
      </c>
      <c r="N9" s="419">
        <f>'1.1'!G8</f>
        <v>1540000</v>
      </c>
      <c r="O9" s="92">
        <f t="shared" si="2"/>
        <v>1.628782537018536E-2</v>
      </c>
      <c r="P9" s="419">
        <f>'1.1'!H8</f>
        <v>1540000</v>
      </c>
      <c r="Q9" s="89">
        <f t="shared" si="3"/>
        <v>8.9741019428709358E-3</v>
      </c>
    </row>
    <row r="10" spans="1:19" s="12" customFormat="1" outlineLevel="1" x14ac:dyDescent="0.35">
      <c r="A10" s="1" t="s">
        <v>4</v>
      </c>
      <c r="D10" s="12" t="s">
        <v>103</v>
      </c>
      <c r="I10" s="61"/>
      <c r="J10" s="419">
        <f>'1.1'!E9</f>
        <v>193963</v>
      </c>
      <c r="K10" s="92">
        <f t="shared" si="0"/>
        <v>1.3807224053030497E-2</v>
      </c>
      <c r="L10" s="419">
        <f>'1.1'!F9</f>
        <v>294061</v>
      </c>
      <c r="M10" s="92">
        <f t="shared" si="1"/>
        <v>8.1499478347261504E-3</v>
      </c>
      <c r="N10" s="419">
        <f>'1.1'!G9</f>
        <v>294061</v>
      </c>
      <c r="O10" s="92">
        <f t="shared" si="2"/>
        <v>3.1101391014169331E-3</v>
      </c>
      <c r="P10" s="419">
        <f>'1.1'!H9</f>
        <v>294061</v>
      </c>
      <c r="Q10" s="89">
        <f t="shared" si="3"/>
        <v>1.7135931113133574E-3</v>
      </c>
    </row>
    <row r="11" spans="1:19" s="12" customFormat="1" outlineLevel="1" x14ac:dyDescent="0.35">
      <c r="A11" s="1" t="s">
        <v>6</v>
      </c>
      <c r="D11" s="12" t="s">
        <v>160</v>
      </c>
      <c r="I11" s="61"/>
      <c r="J11" s="419">
        <f>'1.1'!E10</f>
        <v>608135.75809423567</v>
      </c>
      <c r="K11" s="92">
        <f t="shared" si="0"/>
        <v>4.3290043290043288E-2</v>
      </c>
      <c r="L11" s="419">
        <f>'1.1'!F10</f>
        <v>955375.16076890263</v>
      </c>
      <c r="M11" s="92">
        <f t="shared" si="1"/>
        <v>2.6478375992939104E-2</v>
      </c>
      <c r="N11" s="419">
        <f>'1.1'!G10</f>
        <v>1685368.0444293998</v>
      </c>
      <c r="O11" s="92">
        <f t="shared" si="2"/>
        <v>1.7825311942959002E-2</v>
      </c>
      <c r="P11" s="419">
        <f>'1.1'!H10</f>
        <v>1544598.693758477</v>
      </c>
      <c r="Q11" s="89">
        <f t="shared" si="3"/>
        <v>9.0009000900089994E-3</v>
      </c>
    </row>
    <row r="12" spans="1:19" s="59" customFormat="1" x14ac:dyDescent="0.35">
      <c r="A12" s="72">
        <v>1.2</v>
      </c>
      <c r="C12" s="59" t="s">
        <v>10</v>
      </c>
      <c r="I12" s="81"/>
      <c r="J12" s="70">
        <f>SUM(J13:J17)</f>
        <v>990000</v>
      </c>
      <c r="K12" s="88">
        <f t="shared" si="0"/>
        <v>7.0472986149421241E-2</v>
      </c>
      <c r="L12" s="385">
        <f>SUM(L13:L17)</f>
        <v>4860000</v>
      </c>
      <c r="M12" s="88">
        <f t="shared" si="1"/>
        <v>0.13469568040906171</v>
      </c>
      <c r="N12" s="385">
        <f>SUM(N13:N17)</f>
        <v>7566000</v>
      </c>
      <c r="O12" s="88">
        <f t="shared" si="2"/>
        <v>8.0021874513521066E-2</v>
      </c>
      <c r="P12" s="385">
        <f>SUM(P13:P17)</f>
        <v>17310000</v>
      </c>
      <c r="Q12" s="94">
        <f t="shared" si="3"/>
        <v>0.1008712367734389</v>
      </c>
    </row>
    <row r="13" spans="1:19" outlineLevel="1" x14ac:dyDescent="0.35">
      <c r="A13" s="1" t="s">
        <v>9</v>
      </c>
      <c r="D13" t="str">
        <f>'1.2'!C4</f>
        <v>Subsea Cables</v>
      </c>
      <c r="I13" s="61"/>
      <c r="J13" s="4">
        <f>'1.2'!E4</f>
        <v>900000</v>
      </c>
      <c r="K13" s="92">
        <f t="shared" si="0"/>
        <v>6.4066351044928388E-2</v>
      </c>
      <c r="L13" s="419">
        <f>'1.2'!F4</f>
        <v>900000</v>
      </c>
      <c r="M13" s="92">
        <f t="shared" si="1"/>
        <v>2.4943644520196612E-2</v>
      </c>
      <c r="N13" s="419">
        <f>'1.2'!G4</f>
        <v>3360000</v>
      </c>
      <c r="O13" s="92">
        <f t="shared" si="2"/>
        <v>3.5537073534949878E-2</v>
      </c>
      <c r="P13" s="419">
        <f>'1.2'!H4</f>
        <v>8700000</v>
      </c>
      <c r="Q13" s="89">
        <f t="shared" si="3"/>
        <v>5.069784863829685E-2</v>
      </c>
    </row>
    <row r="14" spans="1:19" outlineLevel="1" x14ac:dyDescent="0.35">
      <c r="A14" s="1" t="s">
        <v>11</v>
      </c>
      <c r="D14" s="459" t="str">
        <f>'1.2'!C5</f>
        <v>Terminations and Connectors</v>
      </c>
      <c r="I14" s="61"/>
      <c r="J14" s="419">
        <f>'1.2'!E5</f>
        <v>90000</v>
      </c>
      <c r="K14" s="92">
        <f t="shared" si="0"/>
        <v>6.4066351044928397E-3</v>
      </c>
      <c r="L14" s="419">
        <f>'1.2'!F5</f>
        <v>90000</v>
      </c>
      <c r="M14" s="92">
        <f t="shared" si="1"/>
        <v>2.4943644520196611E-3</v>
      </c>
      <c r="N14" s="419">
        <f>'1.2'!G5</f>
        <v>336000</v>
      </c>
      <c r="O14" s="92">
        <f t="shared" si="2"/>
        <v>3.5537073534949878E-3</v>
      </c>
      <c r="P14" s="419">
        <f>'1.2'!H5</f>
        <v>870000</v>
      </c>
      <c r="Q14" s="89">
        <f t="shared" si="3"/>
        <v>5.0697848638296848E-3</v>
      </c>
    </row>
    <row r="15" spans="1:19" outlineLevel="1" x14ac:dyDescent="0.35">
      <c r="A15" s="1" t="s">
        <v>13</v>
      </c>
      <c r="D15" s="459" t="str">
        <f>'1.2'!C6</f>
        <v>Dockside Improvements</v>
      </c>
      <c r="I15" s="61"/>
      <c r="J15" s="419">
        <f>'1.2'!E6</f>
        <v>0</v>
      </c>
      <c r="K15" s="92">
        <f t="shared" si="0"/>
        <v>0</v>
      </c>
      <c r="L15" s="419">
        <f>'1.2'!F6</f>
        <v>0</v>
      </c>
      <c r="M15" s="92">
        <f t="shared" si="1"/>
        <v>0</v>
      </c>
      <c r="N15" s="419">
        <f>'1.2'!G6</f>
        <v>0</v>
      </c>
      <c r="O15" s="92">
        <f t="shared" si="2"/>
        <v>0</v>
      </c>
      <c r="P15" s="419">
        <f>'1.2'!H6</f>
        <v>0</v>
      </c>
      <c r="Q15" s="89">
        <f t="shared" si="3"/>
        <v>0</v>
      </c>
    </row>
    <row r="16" spans="1:19" outlineLevel="1" x14ac:dyDescent="0.35">
      <c r="A16" s="1" t="s">
        <v>15</v>
      </c>
      <c r="D16" s="459" t="str">
        <f>'1.2'!C7</f>
        <v>Dedicated O&amp;M Vessel</v>
      </c>
      <c r="I16" s="61"/>
      <c r="J16" s="419">
        <f>'1.2'!E7</f>
        <v>0</v>
      </c>
      <c r="K16" s="92">
        <f t="shared" si="0"/>
        <v>0</v>
      </c>
      <c r="L16" s="419">
        <f>'1.2'!F7</f>
        <v>3870000</v>
      </c>
      <c r="M16" s="92">
        <f t="shared" si="1"/>
        <v>0.10725767143684543</v>
      </c>
      <c r="N16" s="419">
        <f>'1.2'!G7</f>
        <v>3870000</v>
      </c>
      <c r="O16" s="92">
        <f t="shared" si="2"/>
        <v>4.0931093625076194E-2</v>
      </c>
      <c r="P16" s="419">
        <f>'1.2'!H7</f>
        <v>7740000</v>
      </c>
      <c r="Q16" s="89">
        <f t="shared" si="3"/>
        <v>4.5103603271312367E-2</v>
      </c>
    </row>
    <row r="17" spans="1:27" outlineLevel="1" x14ac:dyDescent="0.35">
      <c r="A17" s="1" t="s">
        <v>16</v>
      </c>
      <c r="D17" s="459" t="str">
        <f>'1.2'!C8</f>
        <v>Other</v>
      </c>
      <c r="I17" s="61"/>
      <c r="J17" s="419">
        <f>'1.2'!E8</f>
        <v>0</v>
      </c>
      <c r="K17" s="92">
        <f t="shared" si="0"/>
        <v>0</v>
      </c>
      <c r="L17" s="419">
        <f>'1.2'!F8</f>
        <v>0</v>
      </c>
      <c r="M17" s="92">
        <f t="shared" si="1"/>
        <v>0</v>
      </c>
      <c r="N17" s="419">
        <f>'1.2'!G8</f>
        <v>0</v>
      </c>
      <c r="O17" s="92">
        <f t="shared" si="2"/>
        <v>0</v>
      </c>
      <c r="P17" s="419">
        <f>'1.2'!H8</f>
        <v>0</v>
      </c>
      <c r="Q17" s="89">
        <f t="shared" si="3"/>
        <v>0</v>
      </c>
      <c r="W17" s="45"/>
    </row>
    <row r="18" spans="1:27" s="59" customFormat="1" x14ac:dyDescent="0.35">
      <c r="A18" s="72">
        <v>1.3</v>
      </c>
      <c r="C18" s="59" t="s">
        <v>18</v>
      </c>
      <c r="I18" s="81"/>
      <c r="J18" s="70">
        <f>SUM(J19:J23)</f>
        <v>90733.604413198438</v>
      </c>
      <c r="K18" s="88">
        <f t="shared" si="0"/>
        <v>6.4588566132307056E-3</v>
      </c>
      <c r="L18" s="385">
        <f>SUM(L19:L23)</f>
        <v>712969.22643313475</v>
      </c>
      <c r="M18" s="88">
        <f t="shared" si="1"/>
        <v>1.976005659776409E-2</v>
      </c>
      <c r="N18" s="385">
        <f>SUM(N19:N23)</f>
        <v>3012038.1073291618</v>
      </c>
      <c r="O18" s="88">
        <f t="shared" si="2"/>
        <v>3.1856851104234425E-2</v>
      </c>
      <c r="P18" s="385">
        <f>SUM(P19:P23)</f>
        <v>5602390.8796322411</v>
      </c>
      <c r="Q18" s="94">
        <f t="shared" si="3"/>
        <v>3.2647030440019549E-2</v>
      </c>
    </row>
    <row r="19" spans="1:27" outlineLevel="1" x14ac:dyDescent="0.35">
      <c r="A19" s="1" t="s">
        <v>19</v>
      </c>
      <c r="D19" t="str">
        <f>'1.3'!C4</f>
        <v>Mooring lines/chain</v>
      </c>
      <c r="I19" s="61"/>
      <c r="J19" s="4">
        <f>'1.3'!E4</f>
        <v>41242.547460544745</v>
      </c>
      <c r="K19" s="92">
        <f t="shared" si="0"/>
        <v>2.9358439151048665E-3</v>
      </c>
      <c r="L19" s="419">
        <f>'1.3'!F4</f>
        <v>324076.92110597034</v>
      </c>
      <c r="M19" s="92">
        <f t="shared" si="1"/>
        <v>8.9818439080745858E-3</v>
      </c>
      <c r="N19" s="419">
        <f>'1.3'!G4</f>
        <v>1369108.2306041645</v>
      </c>
      <c r="O19" s="92">
        <f t="shared" si="2"/>
        <v>1.4480386865561103E-2</v>
      </c>
      <c r="P19" s="419">
        <f>'1.3'!H4</f>
        <v>2546541.308923746</v>
      </c>
      <c r="Q19" s="89">
        <f t="shared" si="3"/>
        <v>1.4839559290917978E-2</v>
      </c>
    </row>
    <row r="20" spans="1:27" outlineLevel="1" x14ac:dyDescent="0.35">
      <c r="A20" s="1" t="s">
        <v>21</v>
      </c>
      <c r="D20" s="459" t="str">
        <f>'1.3'!C5</f>
        <v>Anchors</v>
      </c>
      <c r="I20" s="61"/>
      <c r="J20" s="419">
        <f>'1.3'!E5</f>
        <v>41242.547460544745</v>
      </c>
      <c r="K20" s="92">
        <f t="shared" si="0"/>
        <v>2.9358439151048665E-3</v>
      </c>
      <c r="L20" s="419">
        <f>'1.3'!F5</f>
        <v>324076.92110597034</v>
      </c>
      <c r="M20" s="92">
        <f t="shared" si="1"/>
        <v>8.9818439080745858E-3</v>
      </c>
      <c r="N20" s="419">
        <f>'1.3'!G5</f>
        <v>1369108.2306041645</v>
      </c>
      <c r="O20" s="92">
        <f t="shared" si="2"/>
        <v>1.4480386865561103E-2</v>
      </c>
      <c r="P20" s="419">
        <f>'1.3'!H5</f>
        <v>2546541.308923746</v>
      </c>
      <c r="Q20" s="89">
        <f t="shared" si="3"/>
        <v>1.4839559290917978E-2</v>
      </c>
    </row>
    <row r="21" spans="1:27" outlineLevel="1" x14ac:dyDescent="0.35">
      <c r="A21" s="1" t="s">
        <v>23</v>
      </c>
      <c r="D21" s="459" t="str">
        <f>'1.3'!C6</f>
        <v>Buoyancy</v>
      </c>
      <c r="I21" s="61"/>
      <c r="J21" s="419">
        <f>'1.3'!E6</f>
        <v>0</v>
      </c>
      <c r="K21" s="92">
        <f t="shared" si="0"/>
        <v>0</v>
      </c>
      <c r="L21" s="419">
        <f>'1.3'!F6</f>
        <v>0</v>
      </c>
      <c r="M21" s="92">
        <f t="shared" si="1"/>
        <v>0</v>
      </c>
      <c r="N21" s="419">
        <f>'1.3'!G6</f>
        <v>0</v>
      </c>
      <c r="O21" s="92">
        <f t="shared" si="2"/>
        <v>0</v>
      </c>
      <c r="P21" s="419">
        <f>'1.3'!H6</f>
        <v>0</v>
      </c>
      <c r="Q21" s="89">
        <f t="shared" si="3"/>
        <v>0</v>
      </c>
    </row>
    <row r="22" spans="1:27" outlineLevel="1" x14ac:dyDescent="0.35">
      <c r="A22" s="1" t="s">
        <v>24</v>
      </c>
      <c r="D22" s="544" t="str">
        <f>'1.3'!C7</f>
        <v>Connecting Hardware (shackles etc.)</v>
      </c>
      <c r="I22" s="61"/>
      <c r="J22" s="419">
        <f>'1.3'!E7</f>
        <v>8248.5094921089494</v>
      </c>
      <c r="K22" s="92">
        <f t="shared" si="0"/>
        <v>5.8716878302097326E-4</v>
      </c>
      <c r="L22" s="419">
        <f>'1.3'!F7</f>
        <v>64815.384221194072</v>
      </c>
      <c r="M22" s="92">
        <f t="shared" si="1"/>
        <v>1.7963687816149171E-3</v>
      </c>
      <c r="N22" s="419">
        <f>'1.3'!G7</f>
        <v>273821.64612083294</v>
      </c>
      <c r="O22" s="92">
        <f t="shared" si="2"/>
        <v>2.8960773731122212E-3</v>
      </c>
      <c r="P22" s="419">
        <f>'1.3'!H7</f>
        <v>509308.26178474922</v>
      </c>
      <c r="Q22" s="89">
        <f t="shared" si="3"/>
        <v>2.9679118581835955E-3</v>
      </c>
      <c r="R22" s="19"/>
    </row>
    <row r="23" spans="1:27" outlineLevel="1" x14ac:dyDescent="0.35">
      <c r="A23" s="1" t="s">
        <v>26</v>
      </c>
      <c r="D23" s="544" t="str">
        <f>'1.3'!C8</f>
        <v>Other</v>
      </c>
      <c r="I23" s="61"/>
      <c r="J23" s="419">
        <f>'1.3'!E8</f>
        <v>0</v>
      </c>
      <c r="K23" s="92">
        <f t="shared" si="0"/>
        <v>0</v>
      </c>
      <c r="L23" s="419">
        <f>'1.3'!F8</f>
        <v>0</v>
      </c>
      <c r="M23" s="92">
        <f t="shared" si="1"/>
        <v>0</v>
      </c>
      <c r="N23" s="419">
        <f>'1.3'!G8</f>
        <v>0</v>
      </c>
      <c r="O23" s="92">
        <f t="shared" si="2"/>
        <v>0</v>
      </c>
      <c r="P23" s="419">
        <f>'1.3'!H8</f>
        <v>0</v>
      </c>
      <c r="Q23" s="89">
        <f t="shared" si="3"/>
        <v>0</v>
      </c>
      <c r="R23" s="9"/>
      <c r="S23" s="9"/>
      <c r="T23" s="9"/>
      <c r="U23" s="9"/>
    </row>
    <row r="24" spans="1:27" s="59" customFormat="1" x14ac:dyDescent="0.35">
      <c r="A24" s="72">
        <v>1.4</v>
      </c>
      <c r="C24" s="59" t="s">
        <v>27</v>
      </c>
      <c r="I24" s="118">
        <f>SUM(I25:I28)</f>
        <v>217.86912000000001</v>
      </c>
      <c r="J24" s="70">
        <f>SUM(J25:J28)</f>
        <v>297558.74113193486</v>
      </c>
      <c r="K24" s="88">
        <f t="shared" si="0"/>
        <v>2.1181669739828348E-2</v>
      </c>
      <c r="L24" s="385">
        <f>SUM(L25:L28)</f>
        <v>2069966.7478249914</v>
      </c>
      <c r="M24" s="88">
        <f t="shared" si="1"/>
        <v>5.7369460807082273E-2</v>
      </c>
      <c r="N24" s="385">
        <f>SUM(N25:N28)</f>
        <v>9108726.3842347283</v>
      </c>
      <c r="O24" s="88">
        <f t="shared" si="2"/>
        <v>9.633853551377608E-2</v>
      </c>
      <c r="P24" s="385">
        <f>SUM(P25:P28)</f>
        <v>17651955.307318762</v>
      </c>
      <c r="Q24" s="94">
        <f t="shared" si="3"/>
        <v>0.10286392624602612</v>
      </c>
      <c r="R24" s="97"/>
      <c r="S24" s="97"/>
      <c r="T24" s="97"/>
      <c r="U24" s="97"/>
      <c r="V24" s="98"/>
      <c r="W24" s="97"/>
      <c r="X24" s="97"/>
      <c r="Y24" s="97"/>
    </row>
    <row r="25" spans="1:27" s="7" customFormat="1" outlineLevel="1" x14ac:dyDescent="0.35">
      <c r="A25" s="1" t="s">
        <v>28</v>
      </c>
      <c r="D25" s="7" t="str">
        <f>'1.4'!D4</f>
        <v>Surface Float</v>
      </c>
      <c r="I25" s="119">
        <f>'1.4'!E22</f>
        <v>205.44</v>
      </c>
      <c r="J25" s="86">
        <f>'1.4'!E4</f>
        <v>270507.94648357714</v>
      </c>
      <c r="K25" s="92">
        <f t="shared" si="0"/>
        <v>1.925606339984395E-2</v>
      </c>
      <c r="L25" s="387">
        <f>'1.4'!F4</f>
        <v>1881787.9525681739</v>
      </c>
      <c r="M25" s="92">
        <f t="shared" si="1"/>
        <v>5.2154055279165702E-2</v>
      </c>
      <c r="N25" s="387">
        <f>'1.4'!G4</f>
        <v>8280660.3493042989</v>
      </c>
      <c r="O25" s="92">
        <f t="shared" si="2"/>
        <v>8.7580486830705531E-2</v>
      </c>
      <c r="P25" s="387">
        <f>'1.4'!H4</f>
        <v>16047232.097562512</v>
      </c>
      <c r="Q25" s="89">
        <f t="shared" si="3"/>
        <v>9.351266022366013E-2</v>
      </c>
      <c r="R25" s="11"/>
      <c r="S25" s="11"/>
      <c r="T25" s="11"/>
      <c r="U25" s="11"/>
      <c r="V25" s="9"/>
      <c r="W25" s="9"/>
      <c r="X25" s="9"/>
      <c r="Y25" s="9"/>
      <c r="AA25" s="19"/>
    </row>
    <row r="26" spans="1:27" outlineLevel="1" x14ac:dyDescent="0.35">
      <c r="A26" s="1" t="s">
        <v>29</v>
      </c>
      <c r="D26" s="459">
        <f>'1.4'!D5</f>
        <v>0</v>
      </c>
      <c r="I26" s="119"/>
      <c r="J26" s="387">
        <f>'1.4'!E5</f>
        <v>0</v>
      </c>
      <c r="K26" s="92">
        <f t="shared" si="0"/>
        <v>0</v>
      </c>
      <c r="L26" s="387">
        <f>'1.4'!F5</f>
        <v>0</v>
      </c>
      <c r="M26" s="92">
        <f t="shared" si="1"/>
        <v>0</v>
      </c>
      <c r="N26" s="387">
        <f>'1.4'!G5</f>
        <v>0</v>
      </c>
      <c r="O26" s="92">
        <f t="shared" si="2"/>
        <v>0</v>
      </c>
      <c r="P26" s="387">
        <f>'1.4'!H5</f>
        <v>0</v>
      </c>
      <c r="Q26" s="89">
        <f t="shared" si="3"/>
        <v>0</v>
      </c>
      <c r="R26" s="11"/>
      <c r="S26" s="11"/>
      <c r="T26" s="11"/>
      <c r="U26" s="11"/>
      <c r="V26" s="9"/>
      <c r="W26" s="9"/>
      <c r="X26" s="9"/>
      <c r="Y26" s="9"/>
    </row>
    <row r="27" spans="1:27" outlineLevel="1" x14ac:dyDescent="0.35">
      <c r="A27" s="1" t="s">
        <v>30</v>
      </c>
      <c r="D27" s="459">
        <f>'1.4'!D6</f>
        <v>0</v>
      </c>
      <c r="I27" s="119"/>
      <c r="J27" s="387">
        <f>'1.4'!E6</f>
        <v>0</v>
      </c>
      <c r="K27" s="92">
        <f t="shared" si="0"/>
        <v>0</v>
      </c>
      <c r="L27" s="387">
        <f>'1.4'!F6</f>
        <v>0</v>
      </c>
      <c r="M27" s="92">
        <f t="shared" si="1"/>
        <v>0</v>
      </c>
      <c r="N27" s="387">
        <f>'1.4'!G6</f>
        <v>0</v>
      </c>
      <c r="O27" s="92">
        <f t="shared" si="2"/>
        <v>0</v>
      </c>
      <c r="P27" s="387">
        <f>'1.4'!H6</f>
        <v>0</v>
      </c>
      <c r="Q27" s="89">
        <f t="shared" si="3"/>
        <v>0</v>
      </c>
      <c r="R27" s="11"/>
      <c r="S27" s="11"/>
      <c r="T27" s="11"/>
      <c r="U27" s="11"/>
      <c r="V27" s="9"/>
      <c r="W27" s="9"/>
      <c r="X27" s="9"/>
      <c r="Y27" s="9"/>
    </row>
    <row r="28" spans="1:27" outlineLevel="1" x14ac:dyDescent="0.35">
      <c r="A28" s="465" t="s">
        <v>31</v>
      </c>
      <c r="D28" s="459" t="str">
        <f>'1.4'!D7</f>
        <v>Device Access (Railings, Ladders, etc)</v>
      </c>
      <c r="I28" s="119">
        <f>'1.4'!E36</f>
        <v>12.429119999999999</v>
      </c>
      <c r="J28" s="387">
        <f>'1.4'!E7</f>
        <v>27050.794648357714</v>
      </c>
      <c r="K28" s="92">
        <f t="shared" si="0"/>
        <v>1.9256063399843951E-3</v>
      </c>
      <c r="L28" s="387">
        <f>'1.4'!F7</f>
        <v>188178.79525681739</v>
      </c>
      <c r="M28" s="92">
        <f t="shared" si="1"/>
        <v>5.21540552791657E-3</v>
      </c>
      <c r="N28" s="387">
        <f>'1.4'!G7</f>
        <v>828066.03493042989</v>
      </c>
      <c r="O28" s="92">
        <f t="shared" si="2"/>
        <v>8.7580486830705542E-3</v>
      </c>
      <c r="P28" s="387">
        <f>'1.4'!H7</f>
        <v>1604723.2097562514</v>
      </c>
      <c r="Q28" s="89">
        <f t="shared" si="3"/>
        <v>9.351266022366014E-3</v>
      </c>
    </row>
    <row r="29" spans="1:27" s="59" customFormat="1" x14ac:dyDescent="0.35">
      <c r="A29" s="72">
        <v>1.5</v>
      </c>
      <c r="C29" s="59" t="s">
        <v>32</v>
      </c>
      <c r="I29" s="118">
        <f>SUM(I30:I42)</f>
        <v>14.467329868480727</v>
      </c>
      <c r="J29" s="87">
        <f>SUM(J30:J42)</f>
        <v>648665.28</v>
      </c>
      <c r="K29" s="88">
        <f t="shared" si="0"/>
        <v>4.617513059904086E-2</v>
      </c>
      <c r="L29" s="388">
        <f>SUM(L30:L42)</f>
        <v>5069854.344098391</v>
      </c>
      <c r="M29" s="88">
        <f t="shared" si="1"/>
        <v>0.1405118272537387</v>
      </c>
      <c r="N29" s="388">
        <f>SUM(N30:N42)</f>
        <v>22143213.396067817</v>
      </c>
      <c r="O29" s="88">
        <f t="shared" si="2"/>
        <v>0.23419791748694915</v>
      </c>
      <c r="P29" s="388">
        <f>SUM(P30:P42)</f>
        <v>42086233.726564497</v>
      </c>
      <c r="Q29" s="94">
        <f t="shared" si="3"/>
        <v>0.24525074795693685</v>
      </c>
    </row>
    <row r="30" spans="1:27" outlineLevel="1" x14ac:dyDescent="0.35">
      <c r="A30" s="1" t="s">
        <v>33</v>
      </c>
      <c r="D30" t="str">
        <f>'1.5'!E4</f>
        <v>Generator</v>
      </c>
      <c r="I30" s="119">
        <f>'1.5'!L4/1000</f>
        <v>2.407</v>
      </c>
      <c r="J30" s="4">
        <f>'1.5'!G4</f>
        <v>29880</v>
      </c>
      <c r="K30" s="92">
        <f t="shared" si="0"/>
        <v>2.1270028546916228E-3</v>
      </c>
      <c r="L30" s="419">
        <f>'1.5'!H4</f>
        <v>263628.68961100199</v>
      </c>
      <c r="M30" s="92">
        <f t="shared" si="1"/>
        <v>7.3065114655356481E-3</v>
      </c>
      <c r="N30" s="419">
        <f>'1.5'!I4</f>
        <v>1207666.8606581793</v>
      </c>
      <c r="O30" s="92">
        <f t="shared" si="2"/>
        <v>1.277290060503922E-2</v>
      </c>
      <c r="P30" s="419">
        <f>'1.5'!J4</f>
        <v>2325973.4265734283</v>
      </c>
      <c r="Q30" s="89">
        <f t="shared" si="3"/>
        <v>1.3554235484726476E-2</v>
      </c>
    </row>
    <row r="31" spans="1:27" outlineLevel="1" x14ac:dyDescent="0.35">
      <c r="A31" s="1" t="s">
        <v>35</v>
      </c>
      <c r="D31" s="484" t="str">
        <f>'1.5'!E5</f>
        <v>Hydraulic Components (all)</v>
      </c>
      <c r="I31" s="697">
        <f>'1.5'!L5/1000</f>
        <v>9.2350098684807254</v>
      </c>
      <c r="J31" s="419">
        <f>'1.5'!G5</f>
        <v>133659.88</v>
      </c>
      <c r="K31" s="92">
        <f t="shared" si="0"/>
        <v>9.5145564363366721E-3</v>
      </c>
      <c r="L31" s="419">
        <f>'1.5'!H5</f>
        <v>1218904.1529981499</v>
      </c>
      <c r="M31" s="92">
        <f t="shared" si="1"/>
        <v>3.3782124329530212E-2</v>
      </c>
      <c r="N31" s="419">
        <f>'1.5'!I5</f>
        <v>5714243.4123841198</v>
      </c>
      <c r="O31" s="92">
        <f t="shared" si="2"/>
        <v>6.0436752482886123E-2</v>
      </c>
      <c r="P31" s="419">
        <f>'1.5'!J5</f>
        <v>11115731.468531448</v>
      </c>
      <c r="Q31" s="89">
        <f t="shared" si="3"/>
        <v>6.4775134654662128E-2</v>
      </c>
    </row>
    <row r="32" spans="1:27" outlineLevel="1" x14ac:dyDescent="0.35">
      <c r="A32" s="1" t="s">
        <v>36</v>
      </c>
      <c r="D32" s="484" t="str">
        <f>'1.5'!E6</f>
        <v>Hydraulic Energy Storage</v>
      </c>
      <c r="I32" s="697">
        <f>'1.5'!L6/1000</f>
        <v>1.5006400000000002</v>
      </c>
      <c r="J32" s="419">
        <f>'1.5'!G6</f>
        <v>65736</v>
      </c>
      <c r="K32" s="92">
        <f t="shared" si="0"/>
        <v>4.6794062803215703E-3</v>
      </c>
      <c r="L32" s="419">
        <f>'1.5'!H6</f>
        <v>423036.27078543307</v>
      </c>
      <c r="M32" s="92">
        <f t="shared" si="1"/>
        <v>1.1724518175134976E-2</v>
      </c>
      <c r="N32" s="419">
        <f>'1.5'!I6</f>
        <v>1554342.8104411936</v>
      </c>
      <c r="O32" s="92">
        <f t="shared" si="2"/>
        <v>1.6439522247967069E-2</v>
      </c>
      <c r="P32" s="419">
        <f>'1.5'!J6</f>
        <v>2722400.0000007036</v>
      </c>
      <c r="Q32" s="89">
        <f t="shared" si="3"/>
        <v>1.5864347486544254E-2</v>
      </c>
    </row>
    <row r="33" spans="1:18" outlineLevel="1" x14ac:dyDescent="0.35">
      <c r="A33" s="1" t="s">
        <v>37</v>
      </c>
      <c r="D33" s="484" t="str">
        <f>'1.5'!E7</f>
        <v>Frequency Converter</v>
      </c>
      <c r="I33" s="697">
        <f>'1.5'!L7/1000</f>
        <v>1.3246800000000001</v>
      </c>
      <c r="J33" s="419">
        <f>'1.5'!G7</f>
        <v>99600</v>
      </c>
      <c r="K33" s="92">
        <f t="shared" si="0"/>
        <v>7.0900095156387422E-3</v>
      </c>
      <c r="L33" s="419">
        <f>'1.5'!H7</f>
        <v>472444.28242960834</v>
      </c>
      <c r="M33" s="92">
        <f t="shared" si="1"/>
        <v>1.30938691516928E-2</v>
      </c>
      <c r="N33" s="419">
        <f>'1.5'!I7</f>
        <v>1402549.2095253095</v>
      </c>
      <c r="O33" s="92">
        <f t="shared" si="2"/>
        <v>1.483407571288296E-2</v>
      </c>
      <c r="P33" s="419">
        <f>'1.5'!J7</f>
        <v>2241000.0000042925</v>
      </c>
      <c r="Q33" s="89">
        <f t="shared" si="3"/>
        <v>1.3059066528579409E-2</v>
      </c>
    </row>
    <row r="34" spans="1:18" outlineLevel="1" x14ac:dyDescent="0.35">
      <c r="A34" s="1" t="s">
        <v>40</v>
      </c>
      <c r="D34" s="484" t="str">
        <f>'1.5'!E8</f>
        <v>Step-up Transformer</v>
      </c>
      <c r="I34" s="697">
        <f>'1.5'!L8/1000</f>
        <v>0</v>
      </c>
      <c r="J34" s="419">
        <f>'1.5'!G8</f>
        <v>66400</v>
      </c>
      <c r="K34" s="92">
        <f t="shared" si="0"/>
        <v>4.7266730104258284E-3</v>
      </c>
      <c r="L34" s="419">
        <f>'1.5'!H8</f>
        <v>575040.86811254045</v>
      </c>
      <c r="M34" s="92">
        <f t="shared" si="1"/>
        <v>1.5937349998649413E-2</v>
      </c>
      <c r="N34" s="419">
        <f>'1.5'!I8</f>
        <v>2600186.5097842282</v>
      </c>
      <c r="O34" s="92">
        <f t="shared" si="2"/>
        <v>2.7500898572257973E-2</v>
      </c>
      <c r="P34" s="419">
        <f>'1.5'!J8</f>
        <v>4979999.9999943404</v>
      </c>
      <c r="Q34" s="89">
        <f t="shared" si="3"/>
        <v>2.9020147841199009E-2</v>
      </c>
    </row>
    <row r="35" spans="1:18" outlineLevel="1" x14ac:dyDescent="0.35">
      <c r="A35" s="1" t="s">
        <v>42</v>
      </c>
      <c r="D35" s="484" t="str">
        <f>'1.5'!E9</f>
        <v>Riser Cable</v>
      </c>
      <c r="I35" s="697">
        <f>'1.5'!L9/1000</f>
        <v>0</v>
      </c>
      <c r="J35" s="419">
        <f>'1.5'!G9</f>
        <v>88000</v>
      </c>
      <c r="K35" s="92">
        <f t="shared" si="0"/>
        <v>6.26426543550411E-3</v>
      </c>
      <c r="L35" s="419">
        <f>'1.5'!H9</f>
        <v>880000</v>
      </c>
      <c r="M35" s="92">
        <f t="shared" si="1"/>
        <v>2.4389341308636688E-2</v>
      </c>
      <c r="N35" s="419">
        <f>'1.5'!I9</f>
        <v>4400000</v>
      </c>
      <c r="O35" s="92">
        <f t="shared" si="2"/>
        <v>4.6536643914815316E-2</v>
      </c>
      <c r="P35" s="419">
        <f>'1.5'!J9</f>
        <v>8800000</v>
      </c>
      <c r="Q35" s="89">
        <f t="shared" si="3"/>
        <v>5.1280582530691066E-2</v>
      </c>
    </row>
    <row r="36" spans="1:18" outlineLevel="1" x14ac:dyDescent="0.35">
      <c r="A36" s="1" t="s">
        <v>44</v>
      </c>
      <c r="D36" s="484" t="str">
        <f>'1.5'!E10</f>
        <v>Electrical Energy Storage</v>
      </c>
      <c r="I36" s="697">
        <f>'1.5'!L10/1000</f>
        <v>0</v>
      </c>
      <c r="J36" s="419">
        <f>'1.5'!G10</f>
        <v>0</v>
      </c>
      <c r="K36" s="92">
        <f t="shared" ref="K36:K50" si="4">J36/$J$54</f>
        <v>0</v>
      </c>
      <c r="L36" s="419">
        <f>'1.5'!H10</f>
        <v>0</v>
      </c>
      <c r="M36" s="92">
        <f t="shared" ref="M36:M50" si="5">L36/$L$54</f>
        <v>0</v>
      </c>
      <c r="N36" s="419">
        <f>'1.5'!I10</f>
        <v>0</v>
      </c>
      <c r="O36" s="92">
        <f t="shared" ref="O36:O50" si="6">N36/$N$54</f>
        <v>0</v>
      </c>
      <c r="P36" s="419">
        <f>'1.5'!J10</f>
        <v>0</v>
      </c>
      <c r="Q36" s="89">
        <f t="shared" ref="Q36:Q50" si="7">P36/$P$54</f>
        <v>0</v>
      </c>
    </row>
    <row r="37" spans="1:18" outlineLevel="1" x14ac:dyDescent="0.35">
      <c r="A37" s="1" t="s">
        <v>46</v>
      </c>
      <c r="D37" s="484" t="str">
        <f>'1.5'!E11</f>
        <v>Seals</v>
      </c>
      <c r="I37" s="697">
        <f>'1.5'!L11/1000</f>
        <v>0</v>
      </c>
      <c r="J37" s="419">
        <f>'1.5'!G11</f>
        <v>0</v>
      </c>
      <c r="K37" s="92">
        <f t="shared" si="4"/>
        <v>0</v>
      </c>
      <c r="L37" s="419">
        <f>'1.5'!H11</f>
        <v>0</v>
      </c>
      <c r="M37" s="92">
        <f t="shared" si="5"/>
        <v>0</v>
      </c>
      <c r="N37" s="419">
        <f>'1.5'!I11</f>
        <v>0</v>
      </c>
      <c r="O37" s="92">
        <f t="shared" si="6"/>
        <v>0</v>
      </c>
      <c r="P37" s="419">
        <f>'1.5'!J11</f>
        <v>0</v>
      </c>
      <c r="Q37" s="89">
        <f t="shared" si="7"/>
        <v>0</v>
      </c>
    </row>
    <row r="38" spans="1:18" outlineLevel="1" x14ac:dyDescent="0.35">
      <c r="A38" s="1" t="s">
        <v>61</v>
      </c>
      <c r="D38" s="484" t="str">
        <f>'1.5'!E12</f>
        <v xml:space="preserve">Control System </v>
      </c>
      <c r="I38" s="697">
        <f>'1.5'!L12/1000</f>
        <v>0</v>
      </c>
      <c r="J38" s="419">
        <f>'1.5'!G12</f>
        <v>17347</v>
      </c>
      <c r="K38" s="92">
        <f t="shared" si="4"/>
        <v>1.2348433239737476E-3</v>
      </c>
      <c r="L38" s="419">
        <f>'1.5'!H12</f>
        <v>163280.79865049251</v>
      </c>
      <c r="M38" s="92">
        <f t="shared" si="5"/>
        <v>4.5253535539018707E-3</v>
      </c>
      <c r="N38" s="419">
        <f>'1.5'!I12</f>
        <v>782581.74735770188</v>
      </c>
      <c r="O38" s="92">
        <f t="shared" si="6"/>
        <v>8.2769836615953028E-3</v>
      </c>
      <c r="P38" s="419">
        <f>'1.5'!J12</f>
        <v>1536900.8593960153</v>
      </c>
      <c r="Q38" s="89">
        <f t="shared" si="7"/>
        <v>8.9560422001985669E-3</v>
      </c>
      <c r="R38" s="11"/>
    </row>
    <row r="39" spans="1:18" outlineLevel="1" x14ac:dyDescent="0.35">
      <c r="A39" s="1" t="s">
        <v>67</v>
      </c>
      <c r="D39" s="484" t="str">
        <f>'1.5'!E13</f>
        <v>Bearings and Linear Guides</v>
      </c>
      <c r="I39" s="697">
        <f>'1.5'!L13/1000</f>
        <v>0</v>
      </c>
      <c r="J39" s="419">
        <f>'1.5'!G13</f>
        <v>30912.800000000003</v>
      </c>
      <c r="K39" s="92">
        <f t="shared" si="4"/>
        <v>2.2005225517574031E-3</v>
      </c>
      <c r="L39" s="419">
        <f>'1.5'!H13</f>
        <v>267712.78984402725</v>
      </c>
      <c r="M39" s="92">
        <f t="shared" si="5"/>
        <v>7.4197029593105748E-3</v>
      </c>
      <c r="N39" s="419">
        <f>'1.5'!I13</f>
        <v>1210528.4766381376</v>
      </c>
      <c r="O39" s="92">
        <f t="shared" si="6"/>
        <v>1.2803166515012008E-2</v>
      </c>
      <c r="P39" s="419">
        <f>'1.5'!J13</f>
        <v>2318461.538458901</v>
      </c>
      <c r="Q39" s="89">
        <f t="shared" si="7"/>
        <v>1.3510461166724393E-2</v>
      </c>
    </row>
    <row r="40" spans="1:18" outlineLevel="1" x14ac:dyDescent="0.35">
      <c r="A40" s="1" t="s">
        <v>68</v>
      </c>
      <c r="D40" s="484" t="str">
        <f>'1.5'!E14</f>
        <v>Assembly, Testing &amp; QA</v>
      </c>
      <c r="I40" s="697">
        <f>'1.5'!L14/1000</f>
        <v>0</v>
      </c>
      <c r="J40" s="419">
        <f>'1.5'!G14</f>
        <v>67329.600000000006</v>
      </c>
      <c r="K40" s="92">
        <f t="shared" si="4"/>
        <v>4.7928464325717899E-3</v>
      </c>
      <c r="L40" s="419">
        <f>'1.5'!H14</f>
        <v>583094.12110315671</v>
      </c>
      <c r="M40" s="92">
        <f t="shared" si="5"/>
        <v>1.6160547198459572E-2</v>
      </c>
      <c r="N40" s="419">
        <f>'1.5'!I14</f>
        <v>2636609.7159600006</v>
      </c>
      <c r="O40" s="92">
        <f t="shared" si="6"/>
        <v>2.7886128975902931E-2</v>
      </c>
      <c r="P40" s="419">
        <f>'1.5'!J14</f>
        <v>5049766.4335606154</v>
      </c>
      <c r="Q40" s="89">
        <f t="shared" si="7"/>
        <v>2.9426700495104388E-2</v>
      </c>
    </row>
    <row r="41" spans="1:18" s="5" customFormat="1" outlineLevel="1" x14ac:dyDescent="0.35">
      <c r="A41" s="1" t="s">
        <v>69</v>
      </c>
      <c r="D41" s="484" t="str">
        <f>'1.5'!E15</f>
        <v>PTO mounting</v>
      </c>
      <c r="I41" s="697">
        <f>'1.5'!L15/1000</f>
        <v>0</v>
      </c>
      <c r="J41" s="419">
        <f>'1.5'!G15</f>
        <v>33200</v>
      </c>
      <c r="K41" s="92">
        <f t="shared" si="4"/>
        <v>2.3633365052129142E-3</v>
      </c>
      <c r="L41" s="419">
        <f>'1.5'!H15</f>
        <v>148474.91370932138</v>
      </c>
      <c r="M41" s="92">
        <f t="shared" si="5"/>
        <v>4.115006075257977E-3</v>
      </c>
      <c r="N41" s="419">
        <f>'1.5'!I15</f>
        <v>423003.10221263254</v>
      </c>
      <c r="O41" s="92">
        <f t="shared" si="6"/>
        <v>4.473896532393524E-3</v>
      </c>
      <c r="P41" s="419">
        <f>'1.5'!J15</f>
        <v>664000.00002983201</v>
      </c>
      <c r="Q41" s="89">
        <f t="shared" si="7"/>
        <v>3.8693530456714396E-3</v>
      </c>
    </row>
    <row r="42" spans="1:18" s="71" customFormat="1" outlineLevel="1" x14ac:dyDescent="0.35">
      <c r="A42" s="38" t="s">
        <v>70</v>
      </c>
      <c r="D42" s="484" t="str">
        <f>'1.5'!E16</f>
        <v>Other</v>
      </c>
      <c r="I42" s="697">
        <f>'1.5'!L16/1000</f>
        <v>0</v>
      </c>
      <c r="J42" s="419">
        <f>'1.5'!G16</f>
        <v>16600</v>
      </c>
      <c r="K42" s="92">
        <f t="shared" si="4"/>
        <v>1.1816682526064571E-3</v>
      </c>
      <c r="L42" s="419">
        <f>'1.5'!H16</f>
        <v>74237.45685466069</v>
      </c>
      <c r="M42" s="92">
        <f t="shared" si="5"/>
        <v>2.0575030376289885E-3</v>
      </c>
      <c r="N42" s="419">
        <f>'1.5'!I16</f>
        <v>211501.55110631627</v>
      </c>
      <c r="O42" s="92">
        <f t="shared" si="6"/>
        <v>2.236948266196762E-3</v>
      </c>
      <c r="P42" s="419">
        <f>'1.5'!J16</f>
        <v>332000.000014916</v>
      </c>
      <c r="Q42" s="89">
        <f t="shared" si="7"/>
        <v>1.9346765228357198E-3</v>
      </c>
    </row>
    <row r="43" spans="1:18" s="59" customFormat="1" x14ac:dyDescent="0.35">
      <c r="A43" s="72">
        <v>1.6</v>
      </c>
      <c r="C43" s="59" t="s">
        <v>72</v>
      </c>
      <c r="I43" s="81"/>
      <c r="J43" s="115">
        <f>'1.6'!E7</f>
        <v>283867.20633958041</v>
      </c>
      <c r="K43" s="88">
        <f t="shared" si="4"/>
        <v>2.0207040101660759E-2</v>
      </c>
      <c r="L43" s="390">
        <f>'1.6'!F7</f>
        <v>1427964.2183846766</v>
      </c>
      <c r="M43" s="88">
        <f t="shared" si="5"/>
        <v>3.9576257612164198E-2</v>
      </c>
      <c r="N43" s="390">
        <f>'1.6'!G7</f>
        <v>6250387.9560605101</v>
      </c>
      <c r="O43" s="88">
        <f t="shared" si="6"/>
        <v>6.6107290600145058E-2</v>
      </c>
      <c r="P43" s="390">
        <f>'1.6'!H7</f>
        <v>11947637.806776652</v>
      </c>
      <c r="Q43" s="94">
        <f t="shared" si="7"/>
        <v>6.9622934840592607E-2</v>
      </c>
    </row>
    <row r="44" spans="1:18" s="59" customFormat="1" x14ac:dyDescent="0.35">
      <c r="A44" s="72">
        <v>1.7</v>
      </c>
      <c r="C44" s="59" t="s">
        <v>47</v>
      </c>
      <c r="I44" s="81"/>
      <c r="J44" s="70">
        <f>SUM(J45:J50)</f>
        <v>6055427.3300000001</v>
      </c>
      <c r="K44" s="88">
        <f t="shared" si="4"/>
        <v>0.43105459227870385</v>
      </c>
      <c r="L44" s="385">
        <f>SUM(L45:L50)</f>
        <v>10551023.155555556</v>
      </c>
      <c r="M44" s="88">
        <f t="shared" si="5"/>
        <v>0.29242330101837877</v>
      </c>
      <c r="N44" s="385">
        <f>SUM(N45:N50)</f>
        <v>28876475.377777778</v>
      </c>
      <c r="O44" s="88">
        <f t="shared" si="6"/>
        <v>0.30541233003876739</v>
      </c>
      <c r="P44" s="385">
        <f>SUM(P45:P50)</f>
        <v>52550090.655555554</v>
      </c>
      <c r="Q44" s="94">
        <f t="shared" si="7"/>
        <v>0.30622718873380839</v>
      </c>
    </row>
    <row r="45" spans="1:18" outlineLevel="1" x14ac:dyDescent="0.35">
      <c r="A45" s="1" t="s">
        <v>73</v>
      </c>
      <c r="D45" t="str">
        <f>'1.7'!D5</f>
        <v>Transport to Staging Site</v>
      </c>
      <c r="I45" s="61"/>
      <c r="J45" s="4">
        <f>'1.7'!F5</f>
        <v>29750</v>
      </c>
      <c r="K45" s="92">
        <f t="shared" si="4"/>
        <v>2.1177488262073552E-3</v>
      </c>
      <c r="L45" s="4">
        <f>'1.7'!G5</f>
        <v>297500</v>
      </c>
      <c r="M45" s="92">
        <f t="shared" si="5"/>
        <v>8.2452602719538803E-3</v>
      </c>
      <c r="N45" s="4">
        <f>'1.7'!H5</f>
        <v>1487500</v>
      </c>
      <c r="O45" s="92">
        <f t="shared" si="6"/>
        <v>1.5732558596201769E-2</v>
      </c>
      <c r="P45" s="4">
        <f>'1.7'!I5</f>
        <v>2975000</v>
      </c>
      <c r="Q45" s="89">
        <f t="shared" si="7"/>
        <v>1.7336333298727944E-2</v>
      </c>
    </row>
    <row r="46" spans="1:18" outlineLevel="1" x14ac:dyDescent="0.35">
      <c r="A46" s="1" t="s">
        <v>74</v>
      </c>
      <c r="D46" s="484" t="str">
        <f>'1.7'!D6</f>
        <v>Cable Shore Landing</v>
      </c>
      <c r="I46" s="61"/>
      <c r="J46" s="419">
        <f>'1.7'!F6</f>
        <v>667000</v>
      </c>
      <c r="K46" s="92">
        <f t="shared" si="4"/>
        <v>4.7480284607741376E-2</v>
      </c>
      <c r="L46" s="419">
        <f>'1.7'!G6</f>
        <v>767200</v>
      </c>
      <c r="M46" s="92">
        <f t="shared" si="5"/>
        <v>2.1263071195438712E-2</v>
      </c>
      <c r="N46" s="419">
        <f>'1.7'!H6</f>
        <v>767200</v>
      </c>
      <c r="O46" s="92">
        <f t="shared" si="6"/>
        <v>8.1142984571468887E-3</v>
      </c>
      <c r="P46" s="419">
        <f>'1.7'!I6</f>
        <v>1534000</v>
      </c>
      <c r="Q46" s="89">
        <f t="shared" si="7"/>
        <v>8.9391379093272834E-3</v>
      </c>
    </row>
    <row r="47" spans="1:18" outlineLevel="1" x14ac:dyDescent="0.35">
      <c r="A47" s="1" t="s">
        <v>75</v>
      </c>
      <c r="D47" s="484" t="str">
        <f>'1.7'!D7</f>
        <v>Mooring/Foundation System</v>
      </c>
      <c r="I47" s="61"/>
      <c r="J47" s="419">
        <f>'1.7'!F7</f>
        <v>3193833.5500000003</v>
      </c>
      <c r="K47" s="92">
        <f t="shared" si="4"/>
        <v>0.22735251265929987</v>
      </c>
      <c r="L47" s="419">
        <f>'1.7'!G7</f>
        <v>3904558.5555555555</v>
      </c>
      <c r="M47" s="92">
        <f t="shared" si="5"/>
        <v>0.10821546735341125</v>
      </c>
      <c r="N47" s="419">
        <f>'1.7'!H7</f>
        <v>7063960.777777778</v>
      </c>
      <c r="O47" s="92">
        <f t="shared" si="6"/>
        <v>7.4712051669015067E-2</v>
      </c>
      <c r="P47" s="419">
        <f>'1.7'!I7</f>
        <v>11013213.555555556</v>
      </c>
      <c r="Q47" s="89">
        <f t="shared" si="7"/>
        <v>6.41777280299764E-2</v>
      </c>
    </row>
    <row r="48" spans="1:18" outlineLevel="1" x14ac:dyDescent="0.35">
      <c r="A48" s="1" t="s">
        <v>76</v>
      </c>
      <c r="D48" s="484" t="str">
        <f>'1.7'!D8</f>
        <v>Cable Installation</v>
      </c>
      <c r="I48" s="61"/>
      <c r="J48" s="419">
        <f>'1.7'!F8</f>
        <v>1507533.78</v>
      </c>
      <c r="K48" s="92">
        <f t="shared" si="4"/>
        <v>0.10731354262396428</v>
      </c>
      <c r="L48" s="419">
        <f>'1.7'!G8</f>
        <v>2280164.6</v>
      </c>
      <c r="M48" s="92">
        <f t="shared" si="5"/>
        <v>6.3195128033262563E-2</v>
      </c>
      <c r="N48" s="419">
        <f>'1.7'!H8</f>
        <v>4503814.5999999996</v>
      </c>
      <c r="O48" s="92">
        <f t="shared" si="6"/>
        <v>4.7634640067851446E-2</v>
      </c>
      <c r="P48" s="419">
        <f>'1.7'!I8</f>
        <v>7283377.0999999996</v>
      </c>
      <c r="Q48" s="89">
        <f t="shared" si="7"/>
        <v>4.2442706872579013E-2</v>
      </c>
    </row>
    <row r="49" spans="1:19" outlineLevel="1" x14ac:dyDescent="0.35">
      <c r="A49" s="1" t="s">
        <v>77</v>
      </c>
      <c r="D49" s="484" t="str">
        <f>'1.7'!D9</f>
        <v>Device Installation</v>
      </c>
      <c r="I49" s="61"/>
      <c r="J49" s="419">
        <f>'1.7'!F9</f>
        <v>328655</v>
      </c>
      <c r="K49" s="92">
        <f t="shared" si="4"/>
        <v>2.3395251780745491E-2</v>
      </c>
      <c r="L49" s="419">
        <f>'1.7'!G9</f>
        <v>1650800</v>
      </c>
      <c r="M49" s="92">
        <f t="shared" si="5"/>
        <v>4.5752187082156184E-2</v>
      </c>
      <c r="N49" s="419">
        <f>'1.7'!H9</f>
        <v>7527000</v>
      </c>
      <c r="O49" s="92">
        <f t="shared" si="6"/>
        <v>7.9609390624276105E-2</v>
      </c>
      <c r="P49" s="419">
        <f>'1.7'!I9</f>
        <v>14872250</v>
      </c>
      <c r="Q49" s="89">
        <f t="shared" si="7"/>
        <v>8.6665641311598887E-2</v>
      </c>
    </row>
    <row r="50" spans="1:19" outlineLevel="1" x14ac:dyDescent="0.35">
      <c r="A50" s="1" t="s">
        <v>78</v>
      </c>
      <c r="D50" s="484" t="str">
        <f>'1.7'!D10</f>
        <v>Device Comissioning</v>
      </c>
      <c r="I50" s="61"/>
      <c r="J50" s="419">
        <f>'1.7'!F10</f>
        <v>328655</v>
      </c>
      <c r="K50" s="92">
        <f t="shared" si="4"/>
        <v>2.3395251780745491E-2</v>
      </c>
      <c r="L50" s="419">
        <f>'1.7'!G10</f>
        <v>1650800</v>
      </c>
      <c r="M50" s="92">
        <f t="shared" si="5"/>
        <v>4.5752187082156184E-2</v>
      </c>
      <c r="N50" s="419">
        <f>'1.7'!H10</f>
        <v>7527000</v>
      </c>
      <c r="O50" s="92">
        <f t="shared" si="6"/>
        <v>7.9609390624276105E-2</v>
      </c>
      <c r="P50" s="419">
        <f>'1.7'!I10</f>
        <v>14872250</v>
      </c>
      <c r="Q50" s="89">
        <f t="shared" si="7"/>
        <v>8.6665641311598887E-2</v>
      </c>
    </row>
    <row r="51" spans="1:19" s="78" customFormat="1" x14ac:dyDescent="0.35">
      <c r="A51" s="96">
        <v>1.8</v>
      </c>
      <c r="C51" s="81" t="s">
        <v>140</v>
      </c>
      <c r="J51" s="390">
        <f>J44</f>
        <v>6055427.3300000001</v>
      </c>
      <c r="K51" s="681">
        <f t="shared" ref="K51:Q51" si="8">10%*(K44+K43+K29+K24+K18+K12+K5)</f>
        <v>8.5199364174783535E-2</v>
      </c>
      <c r="L51" s="696">
        <f>L44</f>
        <v>10551023.155555556</v>
      </c>
      <c r="M51" s="681">
        <f t="shared" si="8"/>
        <v>8.7446258526324414E-2</v>
      </c>
      <c r="N51" s="696">
        <f>N44</f>
        <v>28876475.377777778</v>
      </c>
      <c r="O51" s="681">
        <f t="shared" si="8"/>
        <v>8.881554580465334E-2</v>
      </c>
      <c r="P51" s="696">
        <f>P44</f>
        <v>52550090.655555554</v>
      </c>
      <c r="Q51" s="681">
        <f t="shared" si="8"/>
        <v>8.9837641588958669E-2</v>
      </c>
    </row>
    <row r="52" spans="1:19" s="81" customFormat="1" x14ac:dyDescent="0.35">
      <c r="A52" s="717">
        <v>1.9</v>
      </c>
      <c r="C52" s="81" t="s">
        <v>138</v>
      </c>
      <c r="J52" s="680">
        <f>10%*(J44+J43+J29+J24+J18+J12+J4)</f>
        <v>1277085.0919978952</v>
      </c>
      <c r="K52" s="681">
        <f t="shared" ref="K52:Q52" si="9">10%*(K44+K43+K29+K24+K18+K12+K4)</f>
        <v>9.0909090909090898E-2</v>
      </c>
      <c r="L52" s="680">
        <f t="shared" si="9"/>
        <v>3280121.385306566</v>
      </c>
      <c r="M52" s="681">
        <f t="shared" si="9"/>
        <v>9.0909090909090939E-2</v>
      </c>
      <c r="N52" s="680">
        <f t="shared" si="9"/>
        <v>8595377.0265899394</v>
      </c>
      <c r="O52" s="681">
        <f t="shared" si="9"/>
        <v>9.0909090909090939E-2</v>
      </c>
      <c r="P52" s="680">
        <f t="shared" si="9"/>
        <v>15600446.80696062</v>
      </c>
      <c r="Q52" s="681">
        <f t="shared" si="9"/>
        <v>9.0909090909090898E-2</v>
      </c>
    </row>
    <row r="53" spans="1:19" s="71" customFormat="1" outlineLevel="1" x14ac:dyDescent="0.35">
      <c r="A53" s="38"/>
      <c r="I53" s="61"/>
      <c r="K53" s="60"/>
      <c r="M53" s="60"/>
      <c r="O53" s="60"/>
      <c r="Q53" s="61"/>
    </row>
    <row r="54" spans="1:19" s="71" customFormat="1" outlineLevel="1" x14ac:dyDescent="0.35">
      <c r="A54" s="701" t="s">
        <v>484</v>
      </c>
      <c r="B54" s="156"/>
      <c r="C54" s="156"/>
      <c r="D54" s="156"/>
      <c r="E54" s="156"/>
      <c r="F54" s="156"/>
      <c r="G54" s="156"/>
      <c r="H54" s="156"/>
      <c r="I54" s="683">
        <f>I29+I24</f>
        <v>232.33644986848074</v>
      </c>
      <c r="J54" s="474">
        <f>J52+J44+J43+J29+J24+J18+J12+J4</f>
        <v>14047936.011976846</v>
      </c>
      <c r="K54" s="682">
        <f t="shared" ref="K54:Q54" si="10">K51+K44+K43+K29+K24+K18+K12+K4</f>
        <v>0.99429027326569264</v>
      </c>
      <c r="L54" s="700">
        <f>L52+L44+L43+L29+L24+L18+L12+L4</f>
        <v>36081335.238372214</v>
      </c>
      <c r="M54" s="682">
        <f t="shared" si="10"/>
        <v>0.99653716761723377</v>
      </c>
      <c r="N54" s="700">
        <f>N52+N44+N43+N29+N24+N18+N12+N4</f>
        <v>94549147.29248932</v>
      </c>
      <c r="O54" s="682">
        <f t="shared" si="10"/>
        <v>0.99790645489556262</v>
      </c>
      <c r="P54" s="700">
        <f>P52+P44+P43+P29+P24+P18+P12+P4</f>
        <v>171604914.87656683</v>
      </c>
      <c r="Q54" s="682">
        <f t="shared" si="10"/>
        <v>0.99892855067986774</v>
      </c>
    </row>
    <row r="55" spans="1:19" s="71" customFormat="1" outlineLevel="1" x14ac:dyDescent="0.35">
      <c r="A55" s="38"/>
      <c r="I55" s="61"/>
      <c r="J55" s="4"/>
      <c r="K55" s="86"/>
      <c r="L55" s="4"/>
      <c r="M55" s="86"/>
      <c r="N55" s="4"/>
      <c r="O55" s="86"/>
      <c r="P55" s="4"/>
      <c r="Q55" s="61"/>
    </row>
    <row r="56" spans="1:19" s="59" customFormat="1" x14ac:dyDescent="0.35">
      <c r="A56" s="72">
        <v>2</v>
      </c>
      <c r="B56" s="59" t="s">
        <v>58</v>
      </c>
      <c r="I56" s="81"/>
      <c r="J56" s="70">
        <f>SUM(J57:J62)</f>
        <v>1104133.261992625</v>
      </c>
      <c r="K56" s="94">
        <f>J56/$J$54</f>
        <v>7.8597543514668231E-2</v>
      </c>
      <c r="L56" s="385">
        <f>SUM(L57:L62)</f>
        <v>2823197.3022189168</v>
      </c>
      <c r="M56" s="94">
        <f>L56/$L$54</f>
        <v>7.8245366574363054E-2</v>
      </c>
      <c r="N56" s="385">
        <f>SUM(N57:N62)</f>
        <v>5478790.8900601957</v>
      </c>
      <c r="O56" s="94">
        <f>N56/$N$54</f>
        <v>5.7946486530560316E-2</v>
      </c>
      <c r="P56" s="385">
        <f>SUM(P57:P62)</f>
        <v>8376890.4418792389</v>
      </c>
      <c r="Q56" s="94">
        <f>P56/$P$54</f>
        <v>4.8814979733561983E-2</v>
      </c>
    </row>
    <row r="57" spans="1:19" outlineLevel="1" x14ac:dyDescent="0.35">
      <c r="A57" s="1">
        <v>2.1</v>
      </c>
      <c r="C57" t="s">
        <v>52</v>
      </c>
      <c r="I57" s="61"/>
      <c r="J57" s="419">
        <f>'2.1'!E4</f>
        <v>167325.04323769428</v>
      </c>
      <c r="K57" s="93">
        <f t="shared" ref="K57:K62" si="11">J57/$J$54</f>
        <v>1.1911005509637715E-2</v>
      </c>
      <c r="L57" s="419">
        <f>'2.1'!F4</f>
        <v>493835.55384593504</v>
      </c>
      <c r="M57" s="93">
        <f t="shared" ref="M57:M62" si="12">L57/$L$54</f>
        <v>1.3686731673963797E-2</v>
      </c>
      <c r="N57" s="419">
        <f>'2.1'!G4</f>
        <v>769568.41221470002</v>
      </c>
      <c r="O57" s="93">
        <f t="shared" ref="O57:O62" si="13">N57/$N$54</f>
        <v>8.1393479925739327E-3</v>
      </c>
      <c r="P57" s="4">
        <f>'2.1'!H4</f>
        <v>735741.54187923844</v>
      </c>
      <c r="Q57" s="89">
        <f t="shared" ref="Q57:Q62" si="14">P57/$P$54</f>
        <v>4.2874153249541115E-3</v>
      </c>
    </row>
    <row r="58" spans="1:19" outlineLevel="1" x14ac:dyDescent="0.35">
      <c r="A58" s="1">
        <v>2.2000000000000002</v>
      </c>
      <c r="C58" t="s">
        <v>53</v>
      </c>
      <c r="I58" s="61"/>
      <c r="J58" s="201">
        <f>'2.2'!E4</f>
        <v>710000</v>
      </c>
      <c r="K58" s="93">
        <f t="shared" si="11"/>
        <v>5.0541232490999066E-2</v>
      </c>
      <c r="L58" s="419">
        <f>'2.2'!F4</f>
        <v>1121000</v>
      </c>
      <c r="M58" s="93">
        <f t="shared" si="12"/>
        <v>3.1068695007933779E-2</v>
      </c>
      <c r="N58" s="419">
        <f>'2.2'!G4</f>
        <v>1121000</v>
      </c>
      <c r="O58" s="93">
        <f t="shared" si="13"/>
        <v>1.1856267688297265E-2</v>
      </c>
      <c r="P58" s="419">
        <f>'2.2'!H4</f>
        <v>1121000</v>
      </c>
      <c r="Q58" s="89">
        <f t="shared" si="14"/>
        <v>6.5324469337391684E-3</v>
      </c>
      <c r="R58" s="4"/>
      <c r="S58" s="4"/>
    </row>
    <row r="59" spans="1:19" outlineLevel="1" x14ac:dyDescent="0.35">
      <c r="A59" s="1">
        <v>2.2999999999999998</v>
      </c>
      <c r="C59" t="s">
        <v>54</v>
      </c>
      <c r="I59" s="61"/>
      <c r="J59" s="4">
        <f>'2.3'!F5</f>
        <v>26569</v>
      </c>
      <c r="K59" s="93">
        <f t="shared" si="11"/>
        <v>1.8913098676807806E-3</v>
      </c>
      <c r="L59" s="419">
        <f>'2.3'!G5</f>
        <v>265690</v>
      </c>
      <c r="M59" s="93">
        <f t="shared" si="12"/>
        <v>7.3636410139678197E-3</v>
      </c>
      <c r="N59" s="419">
        <f>'2.3'!H5</f>
        <v>562320</v>
      </c>
      <c r="O59" s="93">
        <f t="shared" si="13"/>
        <v>5.947383092313397E-3</v>
      </c>
      <c r="P59" s="419">
        <f>'2.3'!I5</f>
        <v>1124640</v>
      </c>
      <c r="Q59" s="89">
        <f t="shared" si="14"/>
        <v>6.5536584474223183E-3</v>
      </c>
      <c r="R59" s="11"/>
      <c r="S59" s="11"/>
    </row>
    <row r="60" spans="1:19" outlineLevel="1" x14ac:dyDescent="0.35">
      <c r="A60" s="1">
        <v>2.4</v>
      </c>
      <c r="C60" t="s">
        <v>55</v>
      </c>
      <c r="I60" s="61"/>
      <c r="J60" s="4">
        <f>'2.4'!E4</f>
        <v>141561</v>
      </c>
      <c r="K60" s="93">
        <f t="shared" si="11"/>
        <v>1.0076996355856788E-2</v>
      </c>
      <c r="L60" s="419">
        <f>'2.4'!F4</f>
        <v>399936</v>
      </c>
      <c r="M60" s="93">
        <f t="shared" si="12"/>
        <v>1.1084290460921502E-2</v>
      </c>
      <c r="N60" s="419">
        <f>'2.4'!G4</f>
        <v>454692</v>
      </c>
      <c r="O60" s="93">
        <f t="shared" si="13"/>
        <v>4.809054476117092E-3</v>
      </c>
      <c r="P60" s="419">
        <f>'2.4'!H4</f>
        <v>674634</v>
      </c>
      <c r="Q60" s="89">
        <f t="shared" si="14"/>
        <v>3.9313209676147993E-3</v>
      </c>
    </row>
    <row r="61" spans="1:19" outlineLevel="1" x14ac:dyDescent="0.35">
      <c r="A61" s="2">
        <v>2.5</v>
      </c>
      <c r="C61" t="s">
        <v>56</v>
      </c>
      <c r="I61" s="61"/>
      <c r="J61" s="4">
        <f>'2.5'!E5</f>
        <v>50678.218754930647</v>
      </c>
      <c r="K61" s="93">
        <f t="shared" si="11"/>
        <v>3.6075206145389565E-3</v>
      </c>
      <c r="L61" s="419">
        <f>'2.5'!F5</f>
        <v>462735.74837298179</v>
      </c>
      <c r="M61" s="93">
        <f>L61/$L$54</f>
        <v>1.282479557133645E-2</v>
      </c>
      <c r="N61" s="419">
        <f>'2.5'!G5</f>
        <v>2171210.477845496</v>
      </c>
      <c r="O61" s="93">
        <f t="shared" si="13"/>
        <v>2.2963829289002695E-2</v>
      </c>
      <c r="P61" s="419">
        <f>'2.5'!H5</f>
        <v>3920874.9000000004</v>
      </c>
      <c r="Q61" s="89">
        <f t="shared" si="14"/>
        <v>2.2848266920677852E-2</v>
      </c>
    </row>
    <row r="62" spans="1:19" outlineLevel="1" x14ac:dyDescent="0.35">
      <c r="A62" s="1">
        <v>2.6</v>
      </c>
      <c r="C62" t="s">
        <v>57</v>
      </c>
      <c r="I62" s="61"/>
      <c r="J62" s="4">
        <f>'2.6'!E4</f>
        <v>8000</v>
      </c>
      <c r="K62" s="93">
        <f t="shared" si="11"/>
        <v>5.694786759549191E-4</v>
      </c>
      <c r="L62" s="419">
        <f>'2.6'!F4</f>
        <v>80000</v>
      </c>
      <c r="M62" s="93">
        <f t="shared" si="12"/>
        <v>2.2172128462396991E-3</v>
      </c>
      <c r="N62" s="419">
        <f>'2.6'!G4</f>
        <v>400000</v>
      </c>
      <c r="O62" s="93">
        <f t="shared" si="13"/>
        <v>4.2306039922559375E-3</v>
      </c>
      <c r="P62" s="419">
        <f>'2.6'!H4</f>
        <v>800000</v>
      </c>
      <c r="Q62" s="89">
        <f t="shared" si="14"/>
        <v>4.6618711391537334E-3</v>
      </c>
      <c r="S62" s="12"/>
    </row>
    <row r="63" spans="1:19" x14ac:dyDescent="0.35">
      <c r="I63" s="61"/>
      <c r="J63" s="61"/>
      <c r="K63" s="78"/>
      <c r="L63" s="61"/>
      <c r="M63" s="78"/>
      <c r="N63" s="61"/>
      <c r="O63" s="78"/>
      <c r="P63" s="61"/>
      <c r="Q63" s="61"/>
    </row>
    <row r="64" spans="1:19" s="59" customFormat="1" x14ac:dyDescent="0.35">
      <c r="A64" s="155" t="s">
        <v>205</v>
      </c>
      <c r="B64" s="156"/>
      <c r="C64" s="156"/>
      <c r="D64" s="156"/>
      <c r="E64" s="156"/>
      <c r="F64" s="156"/>
      <c r="G64" s="156"/>
      <c r="H64" s="156"/>
      <c r="I64" s="156"/>
      <c r="J64" s="167">
        <f>J56</f>
        <v>1104133.261992625</v>
      </c>
      <c r="K64" s="158">
        <f t="shared" ref="K64:Q64" si="15">SUM(K57:K62)</f>
        <v>7.8597543514668217E-2</v>
      </c>
      <c r="L64" s="399">
        <f>L56</f>
        <v>2823197.3022189168</v>
      </c>
      <c r="M64" s="158">
        <f t="shared" si="15"/>
        <v>7.824536657436304E-2</v>
      </c>
      <c r="N64" s="399">
        <f>N56</f>
        <v>5478790.8900601957</v>
      </c>
      <c r="O64" s="158">
        <f t="shared" si="15"/>
        <v>5.7946486530560316E-2</v>
      </c>
      <c r="P64" s="399">
        <f>P56</f>
        <v>8376890.4418792389</v>
      </c>
      <c r="Q64" s="158">
        <f t="shared" si="15"/>
        <v>4.881497973356199E-2</v>
      </c>
    </row>
    <row r="65" spans="10:16" x14ac:dyDescent="0.35">
      <c r="J65" s="4"/>
      <c r="K65" s="86"/>
      <c r="L65" s="4"/>
      <c r="M65" s="86"/>
      <c r="N65" s="4"/>
      <c r="O65" s="86"/>
      <c r="P65" s="4"/>
    </row>
    <row r="66" spans="10:16" x14ac:dyDescent="0.35">
      <c r="J66" s="6"/>
      <c r="K66" s="78"/>
      <c r="L66" s="6"/>
      <c r="M66" s="78"/>
      <c r="N66" s="6"/>
      <c r="O66" s="78"/>
      <c r="P66" s="6"/>
    </row>
  </sheetData>
  <dataConsolidate/>
  <mergeCells count="1">
    <mergeCell ref="J1:P1"/>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5"/>
  <sheetViews>
    <sheetView zoomScale="70" zoomScaleNormal="70" workbookViewId="0">
      <selection activeCell="A67" sqref="A67"/>
    </sheetView>
  </sheetViews>
  <sheetFormatPr defaultRowHeight="14.5" x14ac:dyDescent="0.35"/>
  <cols>
    <col min="1" max="1" width="8.6328125" customWidth="1"/>
    <col min="2" max="2" width="7.90625" customWidth="1"/>
    <col min="3" max="3" width="35.36328125" customWidth="1"/>
    <col min="4" max="4" width="13.08984375" customWidth="1"/>
    <col min="5" max="5" width="19.54296875" customWidth="1"/>
    <col min="6" max="6" width="17.54296875" customWidth="1"/>
    <col min="7" max="7" width="16.453125" bestFit="1" customWidth="1"/>
    <col min="8" max="8" width="18.08984375" bestFit="1" customWidth="1"/>
    <col min="9" max="9" width="17.6328125" bestFit="1" customWidth="1"/>
    <col min="10" max="10" width="16.36328125" customWidth="1"/>
    <col min="11" max="11" width="15" customWidth="1"/>
    <col min="12" max="12" width="18.6328125" customWidth="1"/>
    <col min="13" max="13" width="17.36328125" customWidth="1"/>
    <col min="14" max="14" width="18.90625" customWidth="1"/>
    <col min="15" max="15" width="14.453125" customWidth="1"/>
    <col min="17" max="17" width="11.08984375" customWidth="1"/>
    <col min="18" max="18" width="12.36328125" customWidth="1"/>
    <col min="19" max="19" width="10.54296875" customWidth="1"/>
    <col min="20" max="20" width="12.453125" bestFit="1" customWidth="1"/>
    <col min="21" max="21" width="12" bestFit="1" customWidth="1"/>
  </cols>
  <sheetData>
    <row r="1" spans="1:15" s="12" customFormat="1" x14ac:dyDescent="0.35">
      <c r="A1" s="486" t="s">
        <v>386</v>
      </c>
      <c r="C1" s="37"/>
      <c r="D1" s="37"/>
      <c r="E1" s="37"/>
      <c r="J1" s="518"/>
      <c r="K1" s="518"/>
      <c r="L1" s="518"/>
      <c r="M1" s="518"/>
      <c r="N1" s="518"/>
      <c r="O1" s="518"/>
    </row>
    <row r="2" spans="1:15" s="12" customFormat="1" x14ac:dyDescent="0.35">
      <c r="A2" s="13"/>
      <c r="C2" s="37"/>
      <c r="D2" s="37"/>
      <c r="E2" s="80"/>
      <c r="F2" s="454"/>
      <c r="G2" s="454"/>
      <c r="H2" s="454"/>
      <c r="J2" s="518"/>
      <c r="K2" s="518"/>
      <c r="L2" s="518"/>
      <c r="M2" s="518"/>
      <c r="N2" s="518"/>
      <c r="O2" s="518"/>
    </row>
    <row r="3" spans="1:15" x14ac:dyDescent="0.35">
      <c r="A3" s="211" t="s">
        <v>108</v>
      </c>
      <c r="C3" s="37"/>
      <c r="D3" s="37"/>
      <c r="E3" s="454"/>
      <c r="J3" s="518"/>
      <c r="K3" s="518"/>
      <c r="L3" s="518"/>
      <c r="M3" s="518"/>
      <c r="N3" s="518"/>
      <c r="O3" s="518"/>
    </row>
    <row r="4" spans="1:15" s="37" customFormat="1" x14ac:dyDescent="0.35">
      <c r="B4" s="38"/>
      <c r="E4" s="213" t="s">
        <v>85</v>
      </c>
      <c r="F4" s="213" t="s">
        <v>105</v>
      </c>
      <c r="G4" s="213" t="s">
        <v>107</v>
      </c>
      <c r="H4" s="213" t="s">
        <v>106</v>
      </c>
      <c r="J4" s="518"/>
      <c r="K4" s="520"/>
      <c r="L4" s="520"/>
      <c r="M4" s="520"/>
      <c r="N4" s="520"/>
      <c r="O4" s="519"/>
    </row>
    <row r="5" spans="1:15" s="37" customFormat="1" x14ac:dyDescent="0.35">
      <c r="B5" s="38" t="s">
        <v>99</v>
      </c>
      <c r="C5" s="37" t="s">
        <v>3</v>
      </c>
      <c r="E5" s="202">
        <f>F20</f>
        <v>335000</v>
      </c>
      <c r="F5" s="202">
        <f>G20</f>
        <v>425000</v>
      </c>
      <c r="G5" s="202">
        <f>H20</f>
        <v>425000</v>
      </c>
      <c r="H5" s="202">
        <f>H20</f>
        <v>425000</v>
      </c>
      <c r="J5" s="518"/>
      <c r="K5" s="521"/>
      <c r="L5" s="521"/>
      <c r="M5" s="521"/>
      <c r="N5" s="521"/>
      <c r="O5" s="518"/>
    </row>
    <row r="6" spans="1:15" s="37" customFormat="1" x14ac:dyDescent="0.35">
      <c r="B6" s="38" t="s">
        <v>100</v>
      </c>
      <c r="C6" s="37" t="s">
        <v>5</v>
      </c>
      <c r="E6" s="202">
        <f>F35</f>
        <v>1632500</v>
      </c>
      <c r="F6" s="202">
        <f>G35</f>
        <v>2850000</v>
      </c>
      <c r="G6" s="202">
        <f>H35</f>
        <v>2782500</v>
      </c>
      <c r="H6" s="202">
        <f>H35</f>
        <v>2782500</v>
      </c>
      <c r="J6" s="518"/>
      <c r="K6" s="518"/>
      <c r="L6" s="518"/>
      <c r="M6" s="518"/>
      <c r="N6" s="518"/>
      <c r="O6" s="518"/>
    </row>
    <row r="7" spans="1:15" s="37" customFormat="1" x14ac:dyDescent="0.35">
      <c r="B7" s="38" t="s">
        <v>101</v>
      </c>
      <c r="C7" s="37" t="s">
        <v>7</v>
      </c>
      <c r="E7" s="202">
        <f>F48</f>
        <v>710000</v>
      </c>
      <c r="F7" s="202">
        <f>G48</f>
        <v>2270000</v>
      </c>
      <c r="G7" s="202">
        <f>H48</f>
        <v>2270000</v>
      </c>
      <c r="H7" s="202">
        <f>H48</f>
        <v>2270000</v>
      </c>
      <c r="J7" s="518"/>
      <c r="K7" s="518"/>
      <c r="L7" s="518"/>
      <c r="M7" s="518"/>
      <c r="N7" s="518"/>
      <c r="O7" s="518"/>
    </row>
    <row r="8" spans="1:15" x14ac:dyDescent="0.35">
      <c r="A8" s="13"/>
      <c r="B8" s="38" t="s">
        <v>102</v>
      </c>
      <c r="C8" s="37" t="s">
        <v>8</v>
      </c>
      <c r="D8" s="12"/>
      <c r="E8" s="202">
        <f>F54</f>
        <v>925000</v>
      </c>
      <c r="F8" s="202">
        <f>G54</f>
        <v>1315000</v>
      </c>
      <c r="G8" s="202">
        <f>H54</f>
        <v>1540000</v>
      </c>
      <c r="H8" s="202">
        <f>H54</f>
        <v>1540000</v>
      </c>
      <c r="J8" s="518"/>
      <c r="K8" s="518"/>
      <c r="L8" s="518"/>
      <c r="M8" s="518"/>
      <c r="N8" s="518"/>
      <c r="O8" s="518"/>
    </row>
    <row r="9" spans="1:15" s="37" customFormat="1" x14ac:dyDescent="0.35">
      <c r="A9" s="42"/>
      <c r="B9" s="38" t="s">
        <v>4</v>
      </c>
      <c r="C9" s="37" t="s">
        <v>103</v>
      </c>
      <c r="E9" s="227">
        <f>F61</f>
        <v>193963</v>
      </c>
      <c r="F9" s="227">
        <f t="shared" ref="F9:H9" si="0">G61</f>
        <v>294061</v>
      </c>
      <c r="G9" s="227">
        <f t="shared" si="0"/>
        <v>294061</v>
      </c>
      <c r="H9" s="227">
        <f t="shared" si="0"/>
        <v>294061</v>
      </c>
    </row>
    <row r="10" spans="1:15" s="37" customFormat="1" x14ac:dyDescent="0.35">
      <c r="A10" s="42"/>
      <c r="B10" s="38" t="s">
        <v>6</v>
      </c>
      <c r="C10" s="37" t="s">
        <v>139</v>
      </c>
      <c r="E10" s="227">
        <f>F67</f>
        <v>608135.75809423567</v>
      </c>
      <c r="F10" s="227">
        <f t="shared" ref="F10:H10" si="1">G67</f>
        <v>955375.16076890263</v>
      </c>
      <c r="G10" s="227">
        <f t="shared" si="1"/>
        <v>1685368.0444293998</v>
      </c>
      <c r="H10" s="227">
        <f t="shared" si="1"/>
        <v>1544598.693758477</v>
      </c>
    </row>
    <row r="11" spans="1:15" s="544" customFormat="1" x14ac:dyDescent="0.35">
      <c r="A11" s="486"/>
      <c r="B11" s="436"/>
      <c r="E11" s="455"/>
      <c r="F11" s="455"/>
      <c r="G11" s="455"/>
      <c r="H11" s="455"/>
    </row>
    <row r="12" spans="1:15" s="37" customFormat="1" x14ac:dyDescent="0.35">
      <c r="A12" s="42"/>
      <c r="B12" s="38"/>
      <c r="C12" s="329" t="s">
        <v>81</v>
      </c>
      <c r="D12" s="329"/>
      <c r="E12" s="598">
        <f>SUM(E5:E10)</f>
        <v>4404598.7580942353</v>
      </c>
      <c r="F12" s="598">
        <f t="shared" ref="F12:H12" si="2">SUM(F5:F10)</f>
        <v>8109436.1607689029</v>
      </c>
      <c r="G12" s="598">
        <f t="shared" si="2"/>
        <v>8996929.0444293991</v>
      </c>
      <c r="H12" s="598">
        <f t="shared" si="2"/>
        <v>8856159.6937584765</v>
      </c>
      <c r="I12" s="330"/>
    </row>
    <row r="13" spans="1:15" s="37" customFormat="1" x14ac:dyDescent="0.35">
      <c r="A13" s="42"/>
      <c r="B13" s="38"/>
      <c r="E13" s="330"/>
      <c r="F13" s="330"/>
      <c r="G13" s="330"/>
      <c r="H13" s="330"/>
      <c r="I13" s="330"/>
    </row>
    <row r="14" spans="1:15" s="59" customFormat="1" x14ac:dyDescent="0.35">
      <c r="A14" s="59" t="s">
        <v>99</v>
      </c>
      <c r="B14" s="72" t="s">
        <v>115</v>
      </c>
      <c r="E14" s="81"/>
      <c r="F14" s="228" t="s">
        <v>96</v>
      </c>
      <c r="G14" s="228" t="s">
        <v>86</v>
      </c>
      <c r="H14" s="228" t="s">
        <v>211</v>
      </c>
      <c r="I14" s="81"/>
    </row>
    <row r="15" spans="1:15" s="37" customFormat="1" x14ac:dyDescent="0.35">
      <c r="A15" s="42"/>
      <c r="B15" s="52"/>
      <c r="C15" s="54" t="s">
        <v>264</v>
      </c>
      <c r="D15" s="48"/>
      <c r="E15" s="333"/>
      <c r="F15" s="404">
        <v>90000</v>
      </c>
      <c r="G15" s="229">
        <f>F15</f>
        <v>90000</v>
      </c>
      <c r="H15" s="229">
        <f>F15</f>
        <v>90000</v>
      </c>
      <c r="I15" s="330"/>
    </row>
    <row r="16" spans="1:15" s="37" customFormat="1" x14ac:dyDescent="0.35">
      <c r="A16" s="42"/>
      <c r="B16" s="52"/>
      <c r="C16" s="55" t="s">
        <v>116</v>
      </c>
      <c r="D16" s="48"/>
      <c r="E16" s="333"/>
      <c r="F16" s="404">
        <v>75000</v>
      </c>
      <c r="G16" s="229">
        <f>F16+10000</f>
        <v>85000</v>
      </c>
      <c r="H16" s="229">
        <f>F16+10000</f>
        <v>85000</v>
      </c>
      <c r="I16" s="330"/>
    </row>
    <row r="17" spans="1:9" s="37" customFormat="1" x14ac:dyDescent="0.35">
      <c r="A17" s="42"/>
      <c r="B17" s="52"/>
      <c r="C17" s="55" t="s">
        <v>117</v>
      </c>
      <c r="D17" s="48"/>
      <c r="E17" s="333"/>
      <c r="F17" s="404">
        <v>65000</v>
      </c>
      <c r="G17" s="229">
        <f>F17+65000</f>
        <v>130000</v>
      </c>
      <c r="H17" s="229">
        <f>F17+65000</f>
        <v>130000</v>
      </c>
      <c r="I17" s="330"/>
    </row>
    <row r="18" spans="1:9" s="37" customFormat="1" x14ac:dyDescent="0.35">
      <c r="A18" s="42"/>
      <c r="B18" s="52"/>
      <c r="C18" s="55" t="s">
        <v>118</v>
      </c>
      <c r="D18" s="48"/>
      <c r="E18" s="333"/>
      <c r="F18" s="404">
        <v>105000</v>
      </c>
      <c r="G18" s="229">
        <f>F18+15000</f>
        <v>120000</v>
      </c>
      <c r="H18" s="229">
        <f>F18+15000</f>
        <v>120000</v>
      </c>
      <c r="I18" s="330"/>
    </row>
    <row r="19" spans="1:9" s="71" customFormat="1" x14ac:dyDescent="0.35">
      <c r="A19" s="59"/>
      <c r="B19" s="52"/>
      <c r="C19" s="55"/>
      <c r="D19" s="48"/>
      <c r="E19" s="333"/>
      <c r="F19" s="229"/>
      <c r="G19" s="229"/>
      <c r="H19" s="229"/>
      <c r="I19" s="330"/>
    </row>
    <row r="20" spans="1:9" s="60" customFormat="1" x14ac:dyDescent="0.35">
      <c r="B20" s="52"/>
      <c r="C20" s="103" t="s">
        <v>84</v>
      </c>
      <c r="D20" s="26"/>
      <c r="E20" s="111"/>
      <c r="F20" s="230">
        <f>SUM(F15:F18)</f>
        <v>335000</v>
      </c>
      <c r="G20" s="230">
        <f t="shared" ref="G20:H20" si="3">SUM(G15:G18)</f>
        <v>425000</v>
      </c>
      <c r="H20" s="230">
        <f t="shared" si="3"/>
        <v>425000</v>
      </c>
      <c r="I20" s="78"/>
    </row>
    <row r="21" spans="1:9" s="71" customFormat="1" x14ac:dyDescent="0.35">
      <c r="A21" s="59"/>
      <c r="B21" s="52"/>
      <c r="C21" s="54"/>
      <c r="D21" s="48"/>
      <c r="E21" s="333"/>
      <c r="F21" s="334"/>
      <c r="G21" s="323"/>
      <c r="H21" s="327"/>
      <c r="I21" s="330"/>
    </row>
    <row r="22" spans="1:9" s="59" customFormat="1" x14ac:dyDescent="0.35">
      <c r="A22" s="59" t="s">
        <v>100</v>
      </c>
      <c r="B22" s="198" t="s">
        <v>5</v>
      </c>
      <c r="C22" s="199"/>
      <c r="D22" s="33"/>
      <c r="E22" s="325"/>
      <c r="F22" s="228" t="s">
        <v>96</v>
      </c>
      <c r="G22" s="228" t="s">
        <v>86</v>
      </c>
      <c r="H22" s="228" t="s">
        <v>211</v>
      </c>
      <c r="I22" s="81"/>
    </row>
    <row r="23" spans="1:9" s="486" customFormat="1" x14ac:dyDescent="0.35">
      <c r="B23" s="198"/>
      <c r="C23" s="54" t="s">
        <v>265</v>
      </c>
      <c r="D23" s="33"/>
      <c r="E23" s="519"/>
      <c r="F23" s="404">
        <v>0</v>
      </c>
      <c r="G23" s="404">
        <v>140000</v>
      </c>
      <c r="H23" s="404">
        <v>140000</v>
      </c>
      <c r="I23" s="81"/>
    </row>
    <row r="24" spans="1:9" s="37" customFormat="1" x14ac:dyDescent="0.35">
      <c r="A24" s="42"/>
      <c r="B24" s="52"/>
      <c r="C24" s="55" t="s">
        <v>255</v>
      </c>
      <c r="D24" s="48"/>
      <c r="E24" s="333"/>
      <c r="F24" s="229">
        <v>110000</v>
      </c>
      <c r="G24" s="229">
        <f>F24</f>
        <v>110000</v>
      </c>
      <c r="H24" s="229">
        <f>F24+75000</f>
        <v>185000</v>
      </c>
      <c r="I24" s="330"/>
    </row>
    <row r="25" spans="1:9" s="71" customFormat="1" x14ac:dyDescent="0.35">
      <c r="A25" s="59"/>
      <c r="B25" s="52"/>
      <c r="C25" s="55" t="s">
        <v>256</v>
      </c>
      <c r="D25" s="48"/>
      <c r="E25" s="333"/>
      <c r="F25" s="229">
        <v>552500</v>
      </c>
      <c r="G25" s="404">
        <f>F25+172500</f>
        <v>725000</v>
      </c>
      <c r="H25" s="404">
        <f>F25+65000</f>
        <v>617500</v>
      </c>
      <c r="I25" s="330"/>
    </row>
    <row r="26" spans="1:9" s="37" customFormat="1" x14ac:dyDescent="0.35">
      <c r="A26" s="42"/>
      <c r="B26" s="52"/>
      <c r="C26" s="55" t="s">
        <v>119</v>
      </c>
      <c r="D26" s="48"/>
      <c r="E26" s="333"/>
      <c r="F26" s="229">
        <v>617000</v>
      </c>
      <c r="G26" s="404">
        <f>F26+310000</f>
        <v>927000</v>
      </c>
      <c r="H26" s="404">
        <f>F26+65000</f>
        <v>682000</v>
      </c>
      <c r="I26" s="330"/>
    </row>
    <row r="27" spans="1:9" s="37" customFormat="1" x14ac:dyDescent="0.35">
      <c r="A27" s="42"/>
      <c r="B27" s="52"/>
      <c r="C27" s="523" t="s">
        <v>257</v>
      </c>
      <c r="D27" s="48"/>
      <c r="E27" s="333"/>
      <c r="F27" s="229">
        <v>93500</v>
      </c>
      <c r="G27" s="229">
        <f>F27+65000</f>
        <v>158500</v>
      </c>
      <c r="H27" s="229">
        <f>F27+65000</f>
        <v>158500</v>
      </c>
      <c r="I27" s="330"/>
    </row>
    <row r="28" spans="1:9" s="37" customFormat="1" x14ac:dyDescent="0.35">
      <c r="A28" s="42"/>
      <c r="B28" s="52"/>
      <c r="C28" s="55" t="s">
        <v>258</v>
      </c>
      <c r="D28" s="48"/>
      <c r="E28" s="333"/>
      <c r="F28" s="229">
        <v>25000</v>
      </c>
      <c r="G28" s="229">
        <f>F28+65000</f>
        <v>90000</v>
      </c>
      <c r="H28" s="229">
        <f>F28+65000</f>
        <v>90000</v>
      </c>
      <c r="I28" s="330"/>
    </row>
    <row r="29" spans="1:9" s="37" customFormat="1" x14ac:dyDescent="0.35">
      <c r="A29" s="42"/>
      <c r="B29" s="52"/>
      <c r="C29" s="55" t="s">
        <v>259</v>
      </c>
      <c r="D29" s="48"/>
      <c r="E29" s="333"/>
      <c r="F29" s="229">
        <v>47000</v>
      </c>
      <c r="G29" s="229">
        <f>F29+160000</f>
        <v>207000</v>
      </c>
      <c r="H29" s="229">
        <f>F29+160000</f>
        <v>207000</v>
      </c>
      <c r="I29" s="330"/>
    </row>
    <row r="30" spans="1:9" s="452" customFormat="1" x14ac:dyDescent="0.35">
      <c r="A30" s="453"/>
      <c r="B30" s="428"/>
      <c r="C30" s="430" t="s">
        <v>120</v>
      </c>
      <c r="D30" s="426"/>
      <c r="E30" s="456"/>
      <c r="F30" s="404">
        <v>20000</v>
      </c>
      <c r="G30" s="404">
        <f>F30+40000</f>
        <v>60000</v>
      </c>
      <c r="H30" s="404">
        <f>F30+227500</f>
        <v>247500</v>
      </c>
      <c r="I30" s="457"/>
    </row>
    <row r="31" spans="1:9" s="37" customFormat="1" x14ac:dyDescent="0.35">
      <c r="A31" s="42"/>
      <c r="B31" s="52"/>
      <c r="C31" s="55" t="s">
        <v>121</v>
      </c>
      <c r="D31" s="48"/>
      <c r="E31" s="333"/>
      <c r="F31" s="229">
        <v>105000</v>
      </c>
      <c r="G31" s="229">
        <f>F31+15000</f>
        <v>120000</v>
      </c>
      <c r="H31" s="229">
        <f>F31+22500</f>
        <v>127500</v>
      </c>
      <c r="I31" s="330"/>
    </row>
    <row r="32" spans="1:9" s="37" customFormat="1" x14ac:dyDescent="0.35">
      <c r="A32" s="42"/>
      <c r="B32" s="52"/>
      <c r="C32" s="55" t="s">
        <v>122</v>
      </c>
      <c r="D32" s="48"/>
      <c r="E32" s="333"/>
      <c r="F32" s="229">
        <v>12500</v>
      </c>
      <c r="G32" s="229">
        <f>F32</f>
        <v>12500</v>
      </c>
      <c r="H32" s="229">
        <f>F32+15000</f>
        <v>27500</v>
      </c>
      <c r="I32" s="330"/>
    </row>
    <row r="33" spans="1:9" s="37" customFormat="1" x14ac:dyDescent="0.35">
      <c r="A33" s="42"/>
      <c r="B33" s="52"/>
      <c r="C33" s="55" t="s">
        <v>123</v>
      </c>
      <c r="D33" s="48"/>
      <c r="E33" s="333"/>
      <c r="F33" s="229">
        <v>50000</v>
      </c>
      <c r="G33" s="229">
        <f>F33+250000</f>
        <v>300000</v>
      </c>
      <c r="H33" s="229">
        <f>F33+250000</f>
        <v>300000</v>
      </c>
      <c r="I33" s="330"/>
    </row>
    <row r="34" spans="1:9" s="71" customFormat="1" x14ac:dyDescent="0.35">
      <c r="A34" s="59"/>
      <c r="B34" s="52"/>
      <c r="C34" s="55"/>
      <c r="D34" s="48"/>
      <c r="E34" s="333"/>
      <c r="F34" s="229"/>
      <c r="G34" s="229"/>
      <c r="H34" s="229"/>
      <c r="I34" s="330"/>
    </row>
    <row r="35" spans="1:9" s="60" customFormat="1" x14ac:dyDescent="0.35">
      <c r="B35" s="52"/>
      <c r="C35" s="103" t="s">
        <v>84</v>
      </c>
      <c r="D35" s="26"/>
      <c r="E35" s="111"/>
      <c r="F35" s="230">
        <f>SUM(F23:F33)</f>
        <v>1632500</v>
      </c>
      <c r="G35" s="230">
        <f t="shared" ref="G35" si="4">SUM(G23:G33)</f>
        <v>2850000</v>
      </c>
      <c r="H35" s="230">
        <f>SUM(H23:H33)</f>
        <v>2782500</v>
      </c>
      <c r="I35" s="78"/>
    </row>
    <row r="36" spans="1:9" s="37" customFormat="1" x14ac:dyDescent="0.35">
      <c r="A36" s="42"/>
      <c r="B36" s="52"/>
      <c r="C36" s="54"/>
      <c r="D36" s="48"/>
      <c r="E36" s="333"/>
      <c r="F36" s="330"/>
      <c r="G36" s="330"/>
      <c r="H36" s="330"/>
      <c r="I36" s="330"/>
    </row>
    <row r="37" spans="1:9" s="37" customFormat="1" x14ac:dyDescent="0.35">
      <c r="A37" s="42"/>
      <c r="B37" s="52"/>
      <c r="C37" s="54"/>
      <c r="D37" s="48"/>
      <c r="E37" s="333"/>
      <c r="F37" s="330"/>
      <c r="G37" s="333"/>
      <c r="H37" s="334"/>
      <c r="I37" s="330"/>
    </row>
    <row r="38" spans="1:9" s="59" customFormat="1" x14ac:dyDescent="0.35">
      <c r="A38" s="59" t="s">
        <v>101</v>
      </c>
      <c r="B38" s="198" t="s">
        <v>124</v>
      </c>
      <c r="C38" s="199"/>
      <c r="D38" s="33"/>
      <c r="E38" s="325"/>
      <c r="F38" s="228" t="s">
        <v>96</v>
      </c>
      <c r="G38" s="228" t="s">
        <v>86</v>
      </c>
      <c r="H38" s="228" t="s">
        <v>211</v>
      </c>
      <c r="I38" s="81"/>
    </row>
    <row r="39" spans="1:9" s="37" customFormat="1" x14ac:dyDescent="0.35">
      <c r="A39" s="42"/>
      <c r="B39" s="52"/>
      <c r="C39" s="55" t="s">
        <v>260</v>
      </c>
      <c r="D39" s="48"/>
      <c r="E39" s="333"/>
      <c r="F39" s="298">
        <v>237500</v>
      </c>
      <c r="G39" s="229">
        <f>F39+177500</f>
        <v>415000</v>
      </c>
      <c r="H39" s="229">
        <f>F39+177500</f>
        <v>415000</v>
      </c>
      <c r="I39" s="330"/>
    </row>
    <row r="40" spans="1:9" s="37" customFormat="1" x14ac:dyDescent="0.35">
      <c r="A40" s="42"/>
      <c r="B40" s="52"/>
      <c r="C40" s="55" t="s">
        <v>261</v>
      </c>
      <c r="D40" s="48"/>
      <c r="E40" s="333"/>
      <c r="F40" s="298">
        <v>237500</v>
      </c>
      <c r="G40" s="229">
        <f>F40+177500</f>
        <v>415000</v>
      </c>
      <c r="H40" s="229">
        <f>F40+177500</f>
        <v>415000</v>
      </c>
      <c r="I40" s="330"/>
    </row>
    <row r="41" spans="1:9" s="37" customFormat="1" x14ac:dyDescent="0.35">
      <c r="A41" s="42"/>
      <c r="B41" s="52"/>
      <c r="C41" s="55" t="s">
        <v>257</v>
      </c>
      <c r="D41" s="48"/>
      <c r="E41" s="333"/>
      <c r="F41" s="298">
        <v>112500</v>
      </c>
      <c r="G41" s="229">
        <f>F41+90000</f>
        <v>202500</v>
      </c>
      <c r="H41" s="229">
        <f>F41+90000</f>
        <v>202500</v>
      </c>
      <c r="I41" s="330"/>
    </row>
    <row r="42" spans="1:9" s="37" customFormat="1" x14ac:dyDescent="0.35">
      <c r="A42" s="42"/>
      <c r="B42" s="52"/>
      <c r="C42" s="55" t="s">
        <v>262</v>
      </c>
      <c r="D42" s="48"/>
      <c r="E42" s="333"/>
      <c r="F42" s="298">
        <v>80000</v>
      </c>
      <c r="G42" s="229">
        <f>F42+65000</f>
        <v>145000</v>
      </c>
      <c r="H42" s="229">
        <f>F42+65000</f>
        <v>145000</v>
      </c>
      <c r="I42" s="330"/>
    </row>
    <row r="43" spans="1:9" s="418" customFormat="1" x14ac:dyDescent="0.35">
      <c r="A43" s="423"/>
      <c r="B43" s="428"/>
      <c r="C43" s="430" t="s">
        <v>263</v>
      </c>
      <c r="D43" s="426"/>
      <c r="E43" s="427"/>
      <c r="F43" s="298">
        <v>42500</v>
      </c>
      <c r="G43" s="404">
        <f>F43</f>
        <v>42500</v>
      </c>
      <c r="H43" s="404">
        <f>F43</f>
        <v>42500</v>
      </c>
      <c r="I43" s="422"/>
    </row>
    <row r="44" spans="1:9" s="484" customFormat="1" x14ac:dyDescent="0.35">
      <c r="A44" s="486"/>
      <c r="B44" s="428"/>
      <c r="C44" s="430" t="s">
        <v>266</v>
      </c>
      <c r="D44" s="461"/>
      <c r="E44" s="456"/>
      <c r="F44" s="298">
        <v>0</v>
      </c>
      <c r="G44" s="404">
        <v>350000</v>
      </c>
      <c r="H44" s="404">
        <v>350000</v>
      </c>
      <c r="I44" s="494"/>
    </row>
    <row r="45" spans="1:9" s="484" customFormat="1" x14ac:dyDescent="0.35">
      <c r="A45" s="486"/>
      <c r="B45" s="428"/>
      <c r="C45" s="430" t="s">
        <v>267</v>
      </c>
      <c r="D45" s="461"/>
      <c r="E45" s="456"/>
      <c r="F45" s="298">
        <v>0</v>
      </c>
      <c r="G45" s="404">
        <v>350000</v>
      </c>
      <c r="H45" s="404">
        <v>350000</v>
      </c>
      <c r="I45" s="494"/>
    </row>
    <row r="46" spans="1:9" s="484" customFormat="1" x14ac:dyDescent="0.35">
      <c r="A46" s="486"/>
      <c r="B46" s="428"/>
      <c r="C46" s="430" t="s">
        <v>268</v>
      </c>
      <c r="D46" s="461"/>
      <c r="E46" s="456"/>
      <c r="F46" s="298">
        <v>0</v>
      </c>
      <c r="G46" s="404">
        <v>350000</v>
      </c>
      <c r="H46" s="404">
        <v>350000</v>
      </c>
      <c r="I46" s="494"/>
    </row>
    <row r="47" spans="1:9" s="71" customFormat="1" x14ac:dyDescent="0.35">
      <c r="A47" s="59"/>
      <c r="B47" s="38"/>
      <c r="C47" s="53"/>
      <c r="E47" s="330"/>
      <c r="F47" s="202"/>
      <c r="G47" s="229"/>
      <c r="H47" s="229"/>
      <c r="I47" s="330"/>
    </row>
    <row r="48" spans="1:9" s="100" customFormat="1" x14ac:dyDescent="0.35">
      <c r="B48" s="101"/>
      <c r="C48" s="205" t="s">
        <v>84</v>
      </c>
      <c r="D48" s="220"/>
      <c r="E48" s="111"/>
      <c r="F48" s="230">
        <f>SUM(F39:F46)</f>
        <v>710000</v>
      </c>
      <c r="G48" s="230">
        <f t="shared" ref="G48:H48" si="5">SUM(G39:G46)</f>
        <v>2270000</v>
      </c>
      <c r="H48" s="230">
        <f t="shared" si="5"/>
        <v>2270000</v>
      </c>
      <c r="I48" s="326"/>
    </row>
    <row r="49" spans="1:13" s="71" customFormat="1" x14ac:dyDescent="0.35">
      <c r="A49" s="59"/>
      <c r="B49" s="38"/>
      <c r="E49" s="330"/>
      <c r="F49" s="330"/>
      <c r="G49" s="334"/>
      <c r="H49" s="334"/>
      <c r="I49" s="330"/>
    </row>
    <row r="50" spans="1:13" s="59" customFormat="1" x14ac:dyDescent="0.35">
      <c r="A50" s="59" t="s">
        <v>102</v>
      </c>
      <c r="B50" s="198" t="s">
        <v>127</v>
      </c>
      <c r="C50" s="33"/>
      <c r="D50" s="33"/>
      <c r="E50" s="325"/>
      <c r="F50" s="228" t="s">
        <v>96</v>
      </c>
      <c r="G50" s="228" t="s">
        <v>86</v>
      </c>
      <c r="H50" s="228" t="s">
        <v>211</v>
      </c>
      <c r="I50" s="81"/>
    </row>
    <row r="51" spans="1:13" s="37" customFormat="1" x14ac:dyDescent="0.35">
      <c r="A51" s="42"/>
      <c r="B51" s="52"/>
      <c r="C51" s="56" t="s">
        <v>125</v>
      </c>
      <c r="D51" s="48"/>
      <c r="E51" s="333"/>
      <c r="F51" s="229">
        <v>800000</v>
      </c>
      <c r="G51" s="229">
        <f>F51+300000</f>
        <v>1100000</v>
      </c>
      <c r="H51" s="229">
        <f>F51+525000</f>
        <v>1325000</v>
      </c>
      <c r="I51" s="206"/>
    </row>
    <row r="52" spans="1:13" s="37" customFormat="1" x14ac:dyDescent="0.35">
      <c r="A52" s="42"/>
      <c r="B52" s="52"/>
      <c r="C52" s="95" t="s">
        <v>126</v>
      </c>
      <c r="D52" s="48"/>
      <c r="E52" s="333"/>
      <c r="F52" s="229">
        <v>125000</v>
      </c>
      <c r="G52" s="229">
        <f>F52+90000</f>
        <v>215000</v>
      </c>
      <c r="H52" s="229">
        <f>F52+90000</f>
        <v>215000</v>
      </c>
      <c r="I52" s="206"/>
    </row>
    <row r="53" spans="1:13" s="71" customFormat="1" x14ac:dyDescent="0.35">
      <c r="A53" s="59"/>
      <c r="B53" s="52"/>
      <c r="C53" s="95"/>
      <c r="D53" s="48"/>
      <c r="E53" s="333"/>
      <c r="F53" s="229"/>
      <c r="G53" s="229"/>
      <c r="H53" s="229"/>
      <c r="I53" s="206"/>
    </row>
    <row r="54" spans="1:13" s="60" customFormat="1" x14ac:dyDescent="0.35">
      <c r="B54" s="52"/>
      <c r="C54" s="102" t="s">
        <v>84</v>
      </c>
      <c r="D54" s="26"/>
      <c r="E54" s="111"/>
      <c r="F54" s="230">
        <f>SUM(F51:F52)</f>
        <v>925000</v>
      </c>
      <c r="G54" s="230">
        <f t="shared" ref="G54:H54" si="6">SUM(G51:G52)</f>
        <v>1315000</v>
      </c>
      <c r="H54" s="230">
        <f t="shared" si="6"/>
        <v>1540000</v>
      </c>
      <c r="I54" s="206"/>
    </row>
    <row r="55" spans="1:13" s="51" customFormat="1" x14ac:dyDescent="0.35">
      <c r="A55" s="42"/>
      <c r="B55" s="52"/>
      <c r="C55" s="56"/>
      <c r="D55" s="48"/>
      <c r="E55" s="333"/>
      <c r="F55" s="306"/>
      <c r="G55" s="306"/>
      <c r="H55" s="330"/>
      <c r="I55" s="330"/>
    </row>
    <row r="56" spans="1:13" x14ac:dyDescent="0.35">
      <c r="E56" s="330"/>
      <c r="F56" s="330"/>
      <c r="G56" s="330"/>
      <c r="H56" s="330"/>
      <c r="I56" s="330"/>
    </row>
    <row r="57" spans="1:13" x14ac:dyDescent="0.35">
      <c r="A57" s="42" t="s">
        <v>4</v>
      </c>
      <c r="B57" s="13" t="s">
        <v>103</v>
      </c>
      <c r="F57" s="63" t="s">
        <v>85</v>
      </c>
      <c r="G57" s="63" t="s">
        <v>105</v>
      </c>
      <c r="H57" s="63" t="s">
        <v>107</v>
      </c>
      <c r="I57" s="63" t="s">
        <v>106</v>
      </c>
    </row>
    <row r="58" spans="1:13" x14ac:dyDescent="0.35">
      <c r="C58" t="s">
        <v>251</v>
      </c>
      <c r="F58" s="227">
        <v>193963</v>
      </c>
      <c r="G58" s="227">
        <v>294061</v>
      </c>
      <c r="H58" s="227">
        <v>294061</v>
      </c>
      <c r="I58" s="227">
        <v>294061</v>
      </c>
    </row>
    <row r="59" spans="1:13" x14ac:dyDescent="0.35">
      <c r="F59" s="227"/>
      <c r="G59" s="227"/>
      <c r="H59" s="227"/>
      <c r="I59" s="227"/>
    </row>
    <row r="60" spans="1:13" s="71" customFormat="1" x14ac:dyDescent="0.35">
      <c r="F60" s="227"/>
      <c r="G60" s="227"/>
      <c r="H60" s="227"/>
      <c r="I60" s="227"/>
    </row>
    <row r="61" spans="1:13" x14ac:dyDescent="0.35">
      <c r="C61" s="20" t="s">
        <v>84</v>
      </c>
      <c r="D61" s="20"/>
      <c r="E61" s="20"/>
      <c r="F61" s="113">
        <f>SUM(F58:F59)</f>
        <v>193963</v>
      </c>
      <c r="G61" s="113">
        <f t="shared" ref="G61:I61" si="7">SUM(G58:G59)</f>
        <v>294061</v>
      </c>
      <c r="H61" s="113">
        <f t="shared" si="7"/>
        <v>294061</v>
      </c>
      <c r="I61" s="113">
        <f t="shared" si="7"/>
        <v>294061</v>
      </c>
    </row>
    <row r="63" spans="1:13" x14ac:dyDescent="0.35">
      <c r="A63" s="59" t="s">
        <v>6</v>
      </c>
      <c r="B63" s="59" t="s">
        <v>104</v>
      </c>
      <c r="F63" s="63" t="s">
        <v>85</v>
      </c>
      <c r="G63" s="63" t="s">
        <v>105</v>
      </c>
      <c r="H63" s="63" t="s">
        <v>107</v>
      </c>
      <c r="I63" s="63" t="s">
        <v>106</v>
      </c>
    </row>
    <row r="64" spans="1:13" x14ac:dyDescent="0.35">
      <c r="C64" t="s">
        <v>474</v>
      </c>
      <c r="F64" s="64">
        <f>'CBS (Total)'!J44+'CBS (Total)'!J43+'CBS (Total)'!J29+'CBS (Total)'!J24+'CBS (Total)'!J18+'CBS (Total)'!J12+'CBS (Total)'!J5+'CBS (Total)'!J10</f>
        <v>12162715.161884714</v>
      </c>
      <c r="G64" s="463">
        <f>'CBS (Total)'!L44+'CBS (Total)'!L43+'CBS (Total)'!L29+'CBS (Total)'!L24+'CBS (Total)'!L18+'CBS (Total)'!L12+'CBS (Total)'!L5+'CBS (Total)'!L10</f>
        <v>31845838.692296755</v>
      </c>
      <c r="H64" s="463">
        <f>'CBS (Total)'!N44+'CBS (Total)'!N43+'CBS (Total)'!N29+'CBS (Total)'!N24+'CBS (Total)'!N18+'CBS (Total)'!N12+'CBS (Total)'!N5+'CBS (Total)'!N10</f>
        <v>84268402.221469983</v>
      </c>
      <c r="I64" s="463">
        <f>'CBS (Total)'!P44+'CBS (Total)'!P43+'CBS (Total)'!P29+'CBS (Total)'!P24+'CBS (Total)'!P18+'CBS (Total)'!P12+'CBS (Total)'!P5+'CBS (Total)'!P10</f>
        <v>154459869.3758477</v>
      </c>
      <c r="K64" s="463"/>
      <c r="M64" s="64"/>
    </row>
    <row r="65" spans="1:9" x14ac:dyDescent="0.35">
      <c r="C65" t="s">
        <v>143</v>
      </c>
      <c r="F65" s="44">
        <v>0.05</v>
      </c>
      <c r="G65" s="44">
        <v>0.03</v>
      </c>
      <c r="H65" s="44">
        <v>0.02</v>
      </c>
      <c r="I65" s="44">
        <v>0.01</v>
      </c>
    </row>
    <row r="66" spans="1:9" s="71" customFormat="1" x14ac:dyDescent="0.35">
      <c r="F66" s="44"/>
      <c r="G66" s="44"/>
      <c r="H66" s="44"/>
      <c r="I66" s="44"/>
    </row>
    <row r="67" spans="1:9" x14ac:dyDescent="0.35">
      <c r="C67" s="20" t="s">
        <v>79</v>
      </c>
      <c r="D67" s="20"/>
      <c r="E67" s="20"/>
      <c r="F67" s="207">
        <f>F65*F64</f>
        <v>608135.75809423567</v>
      </c>
      <c r="G67" s="207">
        <f t="shared" ref="G67:I67" si="8">G65*G64</f>
        <v>955375.16076890263</v>
      </c>
      <c r="H67" s="207">
        <f t="shared" si="8"/>
        <v>1685368.0444293998</v>
      </c>
      <c r="I67" s="207">
        <f t="shared" si="8"/>
        <v>1544598.693758477</v>
      </c>
    </row>
    <row r="71" spans="1:9" s="293" customFormat="1" x14ac:dyDescent="0.35">
      <c r="A71" s="211" t="s">
        <v>144</v>
      </c>
    </row>
    <row r="72" spans="1:9" s="293" customFormat="1" x14ac:dyDescent="0.35">
      <c r="A72" s="686" t="s">
        <v>2</v>
      </c>
      <c r="B72" s="686" t="s">
        <v>476</v>
      </c>
    </row>
    <row r="73" spans="1:9" s="293" customFormat="1" x14ac:dyDescent="0.35">
      <c r="A73" s="686" t="s">
        <v>4</v>
      </c>
      <c r="B73" s="686" t="s">
        <v>477</v>
      </c>
    </row>
    <row r="74" spans="1:9" s="328" customFormat="1" x14ac:dyDescent="0.35">
      <c r="A74" s="686"/>
      <c r="B74" s="686" t="s">
        <v>478</v>
      </c>
    </row>
    <row r="75" spans="1:9" s="328" customFormat="1" x14ac:dyDescent="0.35">
      <c r="A75" s="686"/>
      <c r="B75" s="686" t="s">
        <v>479</v>
      </c>
    </row>
    <row r="76" spans="1:9" s="328" customFormat="1" x14ac:dyDescent="0.35">
      <c r="A76" s="686"/>
      <c r="B76" s="686" t="s">
        <v>480</v>
      </c>
    </row>
    <row r="77" spans="1:9" s="293" customFormat="1" x14ac:dyDescent="0.35">
      <c r="A77" s="686" t="s">
        <v>6</v>
      </c>
      <c r="B77" s="686" t="s">
        <v>481</v>
      </c>
    </row>
    <row r="78" spans="1:9" s="293" customFormat="1" x14ac:dyDescent="0.35"/>
    <row r="79" spans="1:9" s="293" customFormat="1" x14ac:dyDescent="0.35">
      <c r="A79" s="211" t="s">
        <v>232</v>
      </c>
    </row>
    <row r="80" spans="1:9" s="293" customFormat="1" x14ac:dyDescent="0.35">
      <c r="A80" s="684" t="s">
        <v>99</v>
      </c>
      <c r="B80" s="685" t="s">
        <v>233</v>
      </c>
    </row>
    <row r="81" spans="1:2" s="293" customFormat="1" x14ac:dyDescent="0.35">
      <c r="A81" s="684" t="s">
        <v>100</v>
      </c>
      <c r="B81" s="685" t="s">
        <v>233</v>
      </c>
    </row>
    <row r="82" spans="1:2" s="293" customFormat="1" x14ac:dyDescent="0.35">
      <c r="A82" s="684" t="s">
        <v>101</v>
      </c>
      <c r="B82" s="685" t="s">
        <v>233</v>
      </c>
    </row>
    <row r="83" spans="1:2" s="293" customFormat="1" x14ac:dyDescent="0.35">
      <c r="A83" s="684" t="s">
        <v>102</v>
      </c>
      <c r="B83" s="685" t="s">
        <v>233</v>
      </c>
    </row>
    <row r="84" spans="1:2" s="293" customFormat="1" x14ac:dyDescent="0.35">
      <c r="A84" s="684" t="s">
        <v>4</v>
      </c>
      <c r="B84" s="685" t="s">
        <v>498</v>
      </c>
    </row>
    <row r="85" spans="1:2" s="293" customFormat="1" x14ac:dyDescent="0.35">
      <c r="A85" s="684" t="s">
        <v>6</v>
      </c>
      <c r="B85" s="685" t="s">
        <v>475</v>
      </c>
    </row>
  </sheetData>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8"/>
  <sheetViews>
    <sheetView zoomScale="70" zoomScaleNormal="70" workbookViewId="0">
      <selection activeCell="N39" sqref="N39"/>
    </sheetView>
  </sheetViews>
  <sheetFormatPr defaultColWidth="9.08984375" defaultRowHeight="14.5" x14ac:dyDescent="0.35"/>
  <cols>
    <col min="1" max="1" width="3.90625" style="7" customWidth="1"/>
    <col min="2" max="2" width="6.36328125" style="7" customWidth="1"/>
    <col min="3" max="3" width="53" style="7" customWidth="1"/>
    <col min="4" max="4" width="13.54296875" style="7" customWidth="1"/>
    <col min="5" max="5" width="15.90625" style="7" customWidth="1"/>
    <col min="6" max="6" width="19.36328125" style="7" customWidth="1"/>
    <col min="7" max="7" width="18.08984375" style="7" customWidth="1"/>
    <col min="8" max="8" width="18" style="7" customWidth="1"/>
    <col min="9" max="16384" width="9.08984375" style="7"/>
  </cols>
  <sheetData>
    <row r="1" spans="1:8" s="12" customFormat="1" x14ac:dyDescent="0.35">
      <c r="A1" s="486" t="s">
        <v>387</v>
      </c>
    </row>
    <row r="2" spans="1:8" s="12" customFormat="1" x14ac:dyDescent="0.35"/>
    <row r="3" spans="1:8" s="12" customFormat="1" x14ac:dyDescent="0.35">
      <c r="A3" s="13" t="s">
        <v>108</v>
      </c>
      <c r="D3" s="12" t="s">
        <v>66</v>
      </c>
      <c r="E3" s="12">
        <v>1</v>
      </c>
      <c r="F3" s="12">
        <v>10</v>
      </c>
      <c r="G3" s="12">
        <v>50</v>
      </c>
      <c r="H3" s="12">
        <v>100</v>
      </c>
    </row>
    <row r="4" spans="1:8" s="12" customFormat="1" x14ac:dyDescent="0.35">
      <c r="A4" s="13"/>
      <c r="B4" s="12" t="s">
        <v>9</v>
      </c>
      <c r="C4" s="12" t="s">
        <v>12</v>
      </c>
      <c r="E4" s="41">
        <f>D39</f>
        <v>900000</v>
      </c>
      <c r="F4" s="522">
        <f t="shared" ref="F4:H4" si="0">E39</f>
        <v>900000</v>
      </c>
      <c r="G4" s="522">
        <f t="shared" si="0"/>
        <v>3360000</v>
      </c>
      <c r="H4" s="522">
        <f t="shared" si="0"/>
        <v>8700000</v>
      </c>
    </row>
    <row r="5" spans="1:8" s="12" customFormat="1" x14ac:dyDescent="0.35">
      <c r="A5" s="13"/>
      <c r="B5" s="12" t="s">
        <v>11</v>
      </c>
      <c r="C5" s="12" t="s">
        <v>145</v>
      </c>
      <c r="E5" s="41">
        <f>D47</f>
        <v>90000</v>
      </c>
      <c r="F5" s="458">
        <f t="shared" ref="F5:H5" si="1">E47</f>
        <v>90000</v>
      </c>
      <c r="G5" s="458">
        <f t="shared" si="1"/>
        <v>336000</v>
      </c>
      <c r="H5" s="458">
        <f t="shared" si="1"/>
        <v>870000</v>
      </c>
    </row>
    <row r="6" spans="1:8" s="66" customFormat="1" x14ac:dyDescent="0.35">
      <c r="A6" s="59"/>
      <c r="B6" s="66" t="s">
        <v>13</v>
      </c>
      <c r="C6" s="66" t="s">
        <v>14</v>
      </c>
      <c r="E6" s="331">
        <f>D54</f>
        <v>0</v>
      </c>
      <c r="F6" s="458">
        <f t="shared" ref="F6:H6" si="2">E54</f>
        <v>0</v>
      </c>
      <c r="G6" s="458">
        <f t="shared" si="2"/>
        <v>0</v>
      </c>
      <c r="H6" s="458">
        <f t="shared" si="2"/>
        <v>0</v>
      </c>
    </row>
    <row r="7" spans="1:8" s="66" customFormat="1" x14ac:dyDescent="0.35">
      <c r="A7" s="59"/>
      <c r="B7" s="66" t="s">
        <v>15</v>
      </c>
      <c r="C7" s="66" t="s">
        <v>59</v>
      </c>
      <c r="E7" s="41">
        <f>D65</f>
        <v>0</v>
      </c>
      <c r="F7" s="458">
        <f t="shared" ref="F7:H7" si="3">E65</f>
        <v>3870000</v>
      </c>
      <c r="G7" s="458">
        <f t="shared" si="3"/>
        <v>3870000</v>
      </c>
      <c r="H7" s="458">
        <f t="shared" si="3"/>
        <v>7740000</v>
      </c>
    </row>
    <row r="8" spans="1:8" s="66" customFormat="1" x14ac:dyDescent="0.35">
      <c r="A8" s="59"/>
      <c r="B8" s="66" t="s">
        <v>16</v>
      </c>
      <c r="C8" s="66" t="s">
        <v>17</v>
      </c>
      <c r="E8" s="64"/>
      <c r="F8" s="64"/>
      <c r="G8" s="64"/>
      <c r="H8" s="64"/>
    </row>
    <row r="9" spans="1:8" s="66" customFormat="1" x14ac:dyDescent="0.35">
      <c r="A9" s="59"/>
      <c r="D9" s="41"/>
      <c r="E9" s="41"/>
      <c r="F9" s="41"/>
      <c r="G9" s="41"/>
    </row>
    <row r="10" spans="1:8" s="66" customFormat="1" x14ac:dyDescent="0.35">
      <c r="A10" s="59"/>
      <c r="B10" s="217"/>
      <c r="C10" s="217" t="s">
        <v>97</v>
      </c>
      <c r="D10" s="218"/>
      <c r="E10" s="218">
        <f>SUM(E4:E8)</f>
        <v>990000</v>
      </c>
      <c r="F10" s="332">
        <f t="shared" ref="F10:H10" si="4">SUM(F4:F8)</f>
        <v>4860000</v>
      </c>
      <c r="G10" s="332">
        <f t="shared" si="4"/>
        <v>7566000</v>
      </c>
      <c r="H10" s="332">
        <f t="shared" si="4"/>
        <v>17310000</v>
      </c>
    </row>
    <row r="11" spans="1:8" s="66" customFormat="1" x14ac:dyDescent="0.35">
      <c r="A11" s="59"/>
      <c r="D11" s="41"/>
      <c r="E11" s="41"/>
      <c r="F11" s="41"/>
      <c r="G11" s="41"/>
    </row>
    <row r="12" spans="1:8" s="12" customFormat="1" x14ac:dyDescent="0.35"/>
    <row r="13" spans="1:8" s="12" customFormat="1" x14ac:dyDescent="0.35"/>
    <row r="14" spans="1:8" x14ac:dyDescent="0.35">
      <c r="A14" s="10"/>
      <c r="B14" s="10"/>
    </row>
    <row r="15" spans="1:8" x14ac:dyDescent="0.35">
      <c r="A15" s="59" t="s">
        <v>269</v>
      </c>
      <c r="E15" s="462" t="s">
        <v>292</v>
      </c>
      <c r="F15" s="7" t="s">
        <v>66</v>
      </c>
    </row>
    <row r="16" spans="1:8" s="452" customFormat="1" x14ac:dyDescent="0.35">
      <c r="A16" s="453"/>
      <c r="D16" s="588">
        <v>1</v>
      </c>
      <c r="E16" s="588">
        <v>10</v>
      </c>
      <c r="F16" s="588">
        <v>50</v>
      </c>
      <c r="G16" s="588">
        <v>100</v>
      </c>
    </row>
    <row r="17" spans="1:7" s="544" customFormat="1" x14ac:dyDescent="0.35">
      <c r="A17" s="486"/>
      <c r="B17" s="544" t="s">
        <v>290</v>
      </c>
      <c r="D17" s="84"/>
      <c r="E17" s="104"/>
      <c r="F17" s="462"/>
      <c r="G17" s="462"/>
    </row>
    <row r="18" spans="1:7" s="544" customFormat="1" x14ac:dyDescent="0.35">
      <c r="A18" s="486"/>
      <c r="C18" s="544" t="s">
        <v>291</v>
      </c>
      <c r="D18" s="588">
        <v>350</v>
      </c>
      <c r="E18" s="588">
        <v>350</v>
      </c>
      <c r="F18" s="588">
        <v>350</v>
      </c>
      <c r="G18" s="588">
        <v>350</v>
      </c>
    </row>
    <row r="19" spans="1:7" s="544" customFormat="1" x14ac:dyDescent="0.35">
      <c r="A19" s="486"/>
      <c r="C19" s="544" t="s">
        <v>293</v>
      </c>
      <c r="D19" s="589">
        <f>D18*D16/1000</f>
        <v>0.35</v>
      </c>
      <c r="E19" s="589">
        <f t="shared" ref="E19:G19" si="5">E18*E16/1000</f>
        <v>3.5</v>
      </c>
      <c r="F19" s="589">
        <f t="shared" si="5"/>
        <v>17.5</v>
      </c>
      <c r="G19" s="589">
        <f t="shared" si="5"/>
        <v>35</v>
      </c>
    </row>
    <row r="20" spans="1:7" s="544" customFormat="1" x14ac:dyDescent="0.35">
      <c r="A20" s="486"/>
      <c r="C20" s="544" t="s">
        <v>294</v>
      </c>
      <c r="D20" s="589">
        <f>D19*1.2</f>
        <v>0.42</v>
      </c>
      <c r="E20" s="589">
        <f t="shared" ref="E20:G20" si="6">E19*1.2</f>
        <v>4.2</v>
      </c>
      <c r="F20" s="589">
        <f t="shared" si="6"/>
        <v>21</v>
      </c>
      <c r="G20" s="589">
        <f t="shared" si="6"/>
        <v>42</v>
      </c>
    </row>
    <row r="21" spans="1:7" s="544" customFormat="1" x14ac:dyDescent="0.35">
      <c r="A21" s="486"/>
      <c r="D21" s="84"/>
      <c r="E21" s="104"/>
      <c r="F21" s="462"/>
      <c r="G21" s="462"/>
    </row>
    <row r="22" spans="1:7" s="544" customFormat="1" x14ac:dyDescent="0.35">
      <c r="A22" s="486"/>
      <c r="B22" s="544" t="s">
        <v>288</v>
      </c>
      <c r="F22" s="462"/>
      <c r="G22" s="462"/>
    </row>
    <row r="23" spans="1:7" s="544" customFormat="1" x14ac:dyDescent="0.35">
      <c r="A23" s="486"/>
      <c r="C23" s="544" t="s">
        <v>289</v>
      </c>
      <c r="D23" s="495">
        <v>5000</v>
      </c>
      <c r="E23" s="544">
        <v>5000</v>
      </c>
      <c r="F23" s="462">
        <v>5000</v>
      </c>
      <c r="G23" s="462">
        <v>5000</v>
      </c>
    </row>
    <row r="24" spans="1:7" s="544" customFormat="1" x14ac:dyDescent="0.35">
      <c r="A24" s="486"/>
      <c r="C24" s="544" t="s">
        <v>296</v>
      </c>
      <c r="D24" s="495">
        <v>0</v>
      </c>
      <c r="E24" s="544">
        <v>0</v>
      </c>
      <c r="F24" s="544">
        <f>(F16-20)/2*600</f>
        <v>9000</v>
      </c>
      <c r="G24" s="544">
        <f>(G16-20)/2*600</f>
        <v>24000</v>
      </c>
    </row>
    <row r="25" spans="1:7" s="544" customFormat="1" x14ac:dyDescent="0.35">
      <c r="A25" s="486"/>
      <c r="C25" s="544" t="s">
        <v>295</v>
      </c>
      <c r="D25" s="495">
        <f>(D23+D24)*1.2</f>
        <v>6000</v>
      </c>
      <c r="E25" s="495">
        <f t="shared" ref="E25:G25" si="7">(E23+E24)*1.2</f>
        <v>6000</v>
      </c>
      <c r="F25" s="495">
        <f t="shared" si="7"/>
        <v>16800</v>
      </c>
      <c r="G25" s="495">
        <f t="shared" si="7"/>
        <v>34800</v>
      </c>
    </row>
    <row r="26" spans="1:7" s="544" customFormat="1" x14ac:dyDescent="0.35">
      <c r="A26" s="486"/>
      <c r="D26" s="495"/>
      <c r="F26" s="462"/>
      <c r="G26" s="462"/>
    </row>
    <row r="27" spans="1:7" s="544" customFormat="1" x14ac:dyDescent="0.35">
      <c r="A27" s="486"/>
      <c r="B27" s="544" t="s">
        <v>301</v>
      </c>
      <c r="F27" s="462"/>
      <c r="G27" s="462"/>
    </row>
    <row r="28" spans="1:7" s="544" customFormat="1" x14ac:dyDescent="0.35">
      <c r="A28" s="486"/>
      <c r="C28" s="544" t="s">
        <v>297</v>
      </c>
      <c r="D28" s="495">
        <f>600+50*2*2</f>
        <v>800</v>
      </c>
      <c r="E28" s="495">
        <f t="shared" ref="E28:G28" si="8">600+50*2*2</f>
        <v>800</v>
      </c>
      <c r="F28" s="495">
        <f t="shared" si="8"/>
        <v>800</v>
      </c>
      <c r="G28" s="495">
        <f t="shared" si="8"/>
        <v>800</v>
      </c>
    </row>
    <row r="29" spans="1:7" s="544" customFormat="1" x14ac:dyDescent="0.35">
      <c r="A29" s="486"/>
      <c r="C29" s="544" t="s">
        <v>298</v>
      </c>
      <c r="D29" s="544">
        <f>D28*D16</f>
        <v>800</v>
      </c>
      <c r="E29" s="544">
        <f t="shared" ref="E29:G29" si="9">E28*E16</f>
        <v>8000</v>
      </c>
      <c r="F29" s="544">
        <f t="shared" si="9"/>
        <v>40000</v>
      </c>
      <c r="G29" s="544">
        <f t="shared" si="9"/>
        <v>80000</v>
      </c>
    </row>
    <row r="30" spans="1:7" s="544" customFormat="1" x14ac:dyDescent="0.35">
      <c r="A30" s="486"/>
      <c r="D30" s="495"/>
      <c r="F30" s="462"/>
      <c r="G30" s="462"/>
    </row>
    <row r="31" spans="1:7" s="544" customFormat="1" x14ac:dyDescent="0.35">
      <c r="A31" s="486"/>
      <c r="B31" s="544" t="s">
        <v>299</v>
      </c>
      <c r="F31" s="462"/>
      <c r="G31" s="462"/>
    </row>
    <row r="32" spans="1:7" s="544" customFormat="1" x14ac:dyDescent="0.35">
      <c r="A32" s="486"/>
      <c r="C32" s="544" t="s">
        <v>302</v>
      </c>
      <c r="D32" s="455">
        <v>150</v>
      </c>
      <c r="E32" s="455">
        <v>150</v>
      </c>
      <c r="F32" s="591">
        <v>200</v>
      </c>
      <c r="G32" s="591">
        <v>250</v>
      </c>
    </row>
    <row r="33" spans="1:7" s="544" customFormat="1" x14ac:dyDescent="0.35">
      <c r="A33" s="486"/>
      <c r="C33" s="544" t="s">
        <v>472</v>
      </c>
      <c r="D33" s="591">
        <v>0</v>
      </c>
      <c r="E33" s="591">
        <v>0</v>
      </c>
      <c r="F33" s="591">
        <v>0</v>
      </c>
      <c r="G33" s="591">
        <v>0</v>
      </c>
    </row>
    <row r="34" spans="1:7" s="544" customFormat="1" x14ac:dyDescent="0.35">
      <c r="A34" s="486"/>
      <c r="C34" s="460"/>
      <c r="D34" s="455"/>
      <c r="E34" s="455"/>
      <c r="F34" s="591"/>
      <c r="G34" s="591"/>
    </row>
    <row r="35" spans="1:7" s="544" customFormat="1" x14ac:dyDescent="0.35">
      <c r="A35" s="486"/>
      <c r="B35" s="544" t="s">
        <v>80</v>
      </c>
      <c r="D35" s="455"/>
      <c r="E35" s="455"/>
      <c r="F35" s="591"/>
      <c r="G35" s="591"/>
    </row>
    <row r="36" spans="1:7" s="544" customFormat="1" x14ac:dyDescent="0.35">
      <c r="A36" s="486"/>
      <c r="C36" s="544" t="s">
        <v>300</v>
      </c>
      <c r="D36" s="455">
        <f>D32*D25</f>
        <v>900000</v>
      </c>
      <c r="E36" s="455">
        <f t="shared" ref="E36:G36" si="10">E32*E25</f>
        <v>900000</v>
      </c>
      <c r="F36" s="455">
        <f t="shared" si="10"/>
        <v>3360000</v>
      </c>
      <c r="G36" s="455">
        <f t="shared" si="10"/>
        <v>8700000</v>
      </c>
    </row>
    <row r="37" spans="1:7" s="544" customFormat="1" x14ac:dyDescent="0.35">
      <c r="A37" s="486"/>
      <c r="C37" s="544" t="s">
        <v>303</v>
      </c>
      <c r="D37" s="455">
        <f>D33*D29</f>
        <v>0</v>
      </c>
      <c r="E37" s="455">
        <f t="shared" ref="E37:G37" si="11">E33*E29</f>
        <v>0</v>
      </c>
      <c r="F37" s="455">
        <f t="shared" si="11"/>
        <v>0</v>
      </c>
      <c r="G37" s="455">
        <f t="shared" si="11"/>
        <v>0</v>
      </c>
    </row>
    <row r="38" spans="1:7" s="544" customFormat="1" x14ac:dyDescent="0.35">
      <c r="A38" s="486"/>
      <c r="C38" s="547"/>
      <c r="D38" s="404"/>
      <c r="E38" s="455"/>
      <c r="F38" s="591"/>
      <c r="G38" s="591"/>
    </row>
    <row r="39" spans="1:7" s="544" customFormat="1" x14ac:dyDescent="0.35">
      <c r="A39" s="486"/>
      <c r="C39" s="79" t="s">
        <v>81</v>
      </c>
      <c r="D39" s="230">
        <f>D37+D36</f>
        <v>900000</v>
      </c>
      <c r="E39" s="230">
        <f t="shared" ref="E39:G39" si="12">E37+E36</f>
        <v>900000</v>
      </c>
      <c r="F39" s="230">
        <f t="shared" si="12"/>
        <v>3360000</v>
      </c>
      <c r="G39" s="230">
        <f t="shared" si="12"/>
        <v>8700000</v>
      </c>
    </row>
    <row r="40" spans="1:7" s="544" customFormat="1" x14ac:dyDescent="0.35">
      <c r="A40" s="486"/>
      <c r="C40" s="547"/>
      <c r="D40" s="547"/>
      <c r="F40" s="462"/>
      <c r="G40" s="462"/>
    </row>
    <row r="42" spans="1:7" x14ac:dyDescent="0.35">
      <c r="A42" s="59" t="s">
        <v>146</v>
      </c>
      <c r="B42" s="59"/>
      <c r="C42" s="59"/>
    </row>
    <row r="43" spans="1:7" s="452" customFormat="1" x14ac:dyDescent="0.35">
      <c r="A43" s="453"/>
      <c r="B43" s="453"/>
      <c r="C43" s="453"/>
      <c r="D43" s="84" t="s">
        <v>85</v>
      </c>
      <c r="E43" s="104" t="s">
        <v>105</v>
      </c>
      <c r="F43" s="63" t="s">
        <v>107</v>
      </c>
      <c r="G43" s="63" t="s">
        <v>106</v>
      </c>
    </row>
    <row r="44" spans="1:7" s="71" customFormat="1" x14ac:dyDescent="0.35">
      <c r="D44" s="222"/>
      <c r="E44" s="222"/>
      <c r="F44" s="222"/>
      <c r="G44" s="222"/>
    </row>
    <row r="45" spans="1:7" s="71" customFormat="1" x14ac:dyDescent="0.35">
      <c r="C45" s="71" t="s">
        <v>304</v>
      </c>
      <c r="D45" s="202">
        <f>10%*D39</f>
        <v>90000</v>
      </c>
      <c r="E45" s="202">
        <f t="shared" ref="E45:G45" si="13">10%*E39</f>
        <v>90000</v>
      </c>
      <c r="F45" s="202">
        <f t="shared" si="13"/>
        <v>336000</v>
      </c>
      <c r="G45" s="202">
        <f t="shared" si="13"/>
        <v>870000</v>
      </c>
    </row>
    <row r="46" spans="1:7" s="71" customFormat="1" x14ac:dyDescent="0.35">
      <c r="D46" s="41"/>
      <c r="E46" s="45"/>
    </row>
    <row r="47" spans="1:7" s="71" customFormat="1" x14ac:dyDescent="0.35">
      <c r="C47" s="20" t="s">
        <v>79</v>
      </c>
      <c r="D47" s="21">
        <f>SUM(D45:D46)</f>
        <v>90000</v>
      </c>
      <c r="E47" s="332">
        <f t="shared" ref="E47:G47" si="14">SUM(E45:E46)</f>
        <v>90000</v>
      </c>
      <c r="F47" s="332">
        <f t="shared" si="14"/>
        <v>336000</v>
      </c>
      <c r="G47" s="332">
        <f t="shared" si="14"/>
        <v>870000</v>
      </c>
    </row>
    <row r="48" spans="1:7" x14ac:dyDescent="0.35">
      <c r="D48" s="8"/>
    </row>
    <row r="49" spans="1:7" x14ac:dyDescent="0.35">
      <c r="A49" s="59" t="s">
        <v>131</v>
      </c>
      <c r="B49" s="59"/>
      <c r="D49" s="8"/>
    </row>
    <row r="50" spans="1:7" s="452" customFormat="1" x14ac:dyDescent="0.35">
      <c r="A50" s="453"/>
      <c r="B50" s="453"/>
      <c r="D50" s="84" t="s">
        <v>85</v>
      </c>
      <c r="E50" s="462" t="s">
        <v>105</v>
      </c>
      <c r="F50" s="462" t="s">
        <v>107</v>
      </c>
      <c r="G50" s="462" t="s">
        <v>106</v>
      </c>
    </row>
    <row r="51" spans="1:7" s="452" customFormat="1" x14ac:dyDescent="0.35">
      <c r="A51" s="453"/>
      <c r="B51" s="453"/>
      <c r="D51" s="458"/>
    </row>
    <row r="52" spans="1:7" s="452" customFormat="1" x14ac:dyDescent="0.35">
      <c r="A52" s="453"/>
      <c r="B52" s="453"/>
      <c r="C52" s="452" t="s">
        <v>305</v>
      </c>
      <c r="D52" s="458"/>
    </row>
    <row r="53" spans="1:7" s="452" customFormat="1" x14ac:dyDescent="0.35">
      <c r="A53" s="453"/>
      <c r="B53" s="453"/>
      <c r="D53" s="458"/>
    </row>
    <row r="54" spans="1:7" s="71" customFormat="1" x14ac:dyDescent="0.35">
      <c r="C54" s="329" t="s">
        <v>79</v>
      </c>
      <c r="D54" s="332">
        <v>0</v>
      </c>
      <c r="E54" s="332">
        <v>0</v>
      </c>
      <c r="F54" s="332">
        <v>0</v>
      </c>
      <c r="G54" s="332">
        <v>0</v>
      </c>
    </row>
    <row r="55" spans="1:7" s="12" customFormat="1" x14ac:dyDescent="0.35">
      <c r="D55" s="18"/>
    </row>
    <row r="56" spans="1:7" s="12" customFormat="1" x14ac:dyDescent="0.35">
      <c r="A56" s="59" t="s">
        <v>132</v>
      </c>
      <c r="B56" s="59"/>
      <c r="D56" s="18"/>
    </row>
    <row r="57" spans="1:7" s="452" customFormat="1" x14ac:dyDescent="0.35">
      <c r="A57" s="453"/>
      <c r="B57" s="453"/>
      <c r="C57" s="453"/>
      <c r="D57" s="84" t="s">
        <v>85</v>
      </c>
      <c r="E57" s="104" t="s">
        <v>105</v>
      </c>
      <c r="F57" s="442" t="s">
        <v>107</v>
      </c>
      <c r="G57" s="442" t="s">
        <v>106</v>
      </c>
    </row>
    <row r="58" spans="1:7" s="544" customFormat="1" x14ac:dyDescent="0.35">
      <c r="A58" s="486"/>
      <c r="B58" s="460" t="s">
        <v>334</v>
      </c>
      <c r="C58" s="486"/>
      <c r="D58" s="84"/>
      <c r="E58" s="104"/>
      <c r="F58" s="462"/>
      <c r="G58" s="462"/>
    </row>
    <row r="59" spans="1:7" s="544" customFormat="1" x14ac:dyDescent="0.35">
      <c r="A59" s="486"/>
      <c r="B59" s="460" t="s">
        <v>418</v>
      </c>
      <c r="C59" s="486"/>
      <c r="D59" s="84"/>
      <c r="E59" s="104"/>
      <c r="F59" s="462"/>
      <c r="G59" s="462"/>
    </row>
    <row r="60" spans="1:7" s="452" customFormat="1" x14ac:dyDescent="0.35">
      <c r="A60" s="453"/>
      <c r="B60" s="460" t="s">
        <v>419</v>
      </c>
      <c r="D60" s="443"/>
      <c r="E60" s="443"/>
      <c r="F60" s="443"/>
      <c r="G60" s="443"/>
    </row>
    <row r="61" spans="1:7" s="544" customFormat="1" x14ac:dyDescent="0.35">
      <c r="A61" s="486"/>
      <c r="B61" s="460" t="s">
        <v>420</v>
      </c>
      <c r="D61" s="443"/>
      <c r="E61" s="443"/>
      <c r="F61" s="443"/>
      <c r="G61" s="443"/>
    </row>
    <row r="62" spans="1:7" s="544" customFormat="1" x14ac:dyDescent="0.35">
      <c r="A62" s="486"/>
      <c r="B62" s="486"/>
      <c r="D62" s="443"/>
      <c r="E62" s="443"/>
      <c r="F62" s="443"/>
      <c r="G62" s="443"/>
    </row>
    <row r="63" spans="1:7" s="452" customFormat="1" x14ac:dyDescent="0.35">
      <c r="A63" s="453"/>
      <c r="B63" s="453"/>
      <c r="C63" s="452" t="s">
        <v>398</v>
      </c>
      <c r="D63" s="202"/>
      <c r="E63" s="202">
        <f>(2.09+5.65)/2*1000000</f>
        <v>3870000</v>
      </c>
      <c r="F63" s="597">
        <f>E63</f>
        <v>3870000</v>
      </c>
      <c r="G63" s="202">
        <f>F63*2</f>
        <v>7740000</v>
      </c>
    </row>
    <row r="64" spans="1:7" s="452" customFormat="1" x14ac:dyDescent="0.35">
      <c r="A64" s="453"/>
      <c r="B64" s="453"/>
      <c r="D64" s="458"/>
      <c r="E64" s="441"/>
    </row>
    <row r="65" spans="1:7" x14ac:dyDescent="0.35">
      <c r="C65" s="329" t="s">
        <v>79</v>
      </c>
      <c r="D65" s="332">
        <f>D63</f>
        <v>0</v>
      </c>
      <c r="E65" s="332">
        <f t="shared" ref="E65:G65" si="15">E63</f>
        <v>3870000</v>
      </c>
      <c r="F65" s="332">
        <f t="shared" si="15"/>
        <v>3870000</v>
      </c>
      <c r="G65" s="332">
        <f t="shared" si="15"/>
        <v>7740000</v>
      </c>
    </row>
    <row r="67" spans="1:7" s="293" customFormat="1" x14ac:dyDescent="0.35"/>
    <row r="68" spans="1:7" s="293" customFormat="1" x14ac:dyDescent="0.35">
      <c r="A68" s="687" t="s">
        <v>144</v>
      </c>
    </row>
    <row r="69" spans="1:7" s="293" customFormat="1" x14ac:dyDescent="0.35">
      <c r="B69" s="686" t="s">
        <v>9</v>
      </c>
      <c r="C69" s="293" t="s">
        <v>306</v>
      </c>
    </row>
    <row r="70" spans="1:7" s="293" customFormat="1" x14ac:dyDescent="0.35">
      <c r="B70" s="686" t="s">
        <v>11</v>
      </c>
      <c r="C70" s="688" t="s">
        <v>482</v>
      </c>
    </row>
    <row r="71" spans="1:7" s="293" customFormat="1" x14ac:dyDescent="0.35">
      <c r="B71" s="686" t="s">
        <v>13</v>
      </c>
      <c r="C71" s="690" t="s">
        <v>499</v>
      </c>
    </row>
    <row r="72" spans="1:7" x14ac:dyDescent="0.35">
      <c r="B72" s="686" t="s">
        <v>15</v>
      </c>
      <c r="C72" s="7" t="s">
        <v>483</v>
      </c>
    </row>
    <row r="74" spans="1:7" x14ac:dyDescent="0.35">
      <c r="A74" s="211" t="s">
        <v>232</v>
      </c>
      <c r="B74" s="293"/>
      <c r="C74" s="293"/>
    </row>
    <row r="75" spans="1:7" x14ac:dyDescent="0.35">
      <c r="A75" s="293"/>
      <c r="B75" s="293" t="s">
        <v>9</v>
      </c>
      <c r="C75" s="7" t="s">
        <v>308</v>
      </c>
    </row>
    <row r="76" spans="1:7" x14ac:dyDescent="0.35">
      <c r="A76" s="293"/>
      <c r="B76" s="293" t="s">
        <v>11</v>
      </c>
      <c r="C76" s="293" t="s">
        <v>308</v>
      </c>
    </row>
    <row r="77" spans="1:7" x14ac:dyDescent="0.35">
      <c r="A77" s="293"/>
      <c r="B77" s="293" t="s">
        <v>13</v>
      </c>
      <c r="C77" s="293" t="s">
        <v>308</v>
      </c>
    </row>
    <row r="78" spans="1:7" x14ac:dyDescent="0.35">
      <c r="A78" s="293"/>
      <c r="B78" s="293" t="s">
        <v>15</v>
      </c>
      <c r="C78" s="293" t="s">
        <v>308</v>
      </c>
    </row>
  </sheetData>
  <pageMargins left="0.7" right="0.7" top="0.75" bottom="0.75" header="0.3" footer="0.3"/>
  <pageSetup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36"/>
  <sheetViews>
    <sheetView topLeftCell="A2" zoomScale="90" zoomScaleNormal="90" workbookViewId="0">
      <selection activeCell="H23" sqref="H23"/>
    </sheetView>
  </sheetViews>
  <sheetFormatPr defaultRowHeight="14.5" x14ac:dyDescent="0.35"/>
  <cols>
    <col min="1" max="1" width="5.90625" customWidth="1"/>
    <col min="2" max="2" width="5.6328125" customWidth="1"/>
    <col min="3" max="3" width="53.54296875" customWidth="1"/>
    <col min="4" max="4" width="11.453125" customWidth="1"/>
    <col min="5" max="5" width="15" bestFit="1" customWidth="1"/>
    <col min="6" max="7" width="16.08984375" bestFit="1" customWidth="1"/>
    <col min="8" max="8" width="17.36328125" bestFit="1" customWidth="1"/>
    <col min="9" max="9" width="10.08984375" bestFit="1" customWidth="1"/>
  </cols>
  <sheetData>
    <row r="1" spans="1:21" x14ac:dyDescent="0.35">
      <c r="A1" s="486" t="s">
        <v>388</v>
      </c>
      <c r="B1" s="66"/>
      <c r="C1" s="66"/>
      <c r="D1" s="66"/>
      <c r="E1" s="66"/>
      <c r="F1" s="66"/>
      <c r="G1" s="66"/>
      <c r="H1" s="66"/>
      <c r="I1" s="66"/>
      <c r="J1" s="66"/>
    </row>
    <row r="2" spans="1:21" x14ac:dyDescent="0.35">
      <c r="A2" s="66"/>
      <c r="B2" s="66"/>
      <c r="C2" s="66"/>
      <c r="D2" s="66"/>
      <c r="E2" s="66"/>
      <c r="F2" s="66"/>
      <c r="G2" s="66"/>
      <c r="H2" s="66"/>
      <c r="I2" s="66"/>
      <c r="J2" s="66"/>
    </row>
    <row r="3" spans="1:21" x14ac:dyDescent="0.35">
      <c r="A3" s="59" t="s">
        <v>108</v>
      </c>
      <c r="B3" s="66"/>
      <c r="C3" s="66"/>
      <c r="D3" s="66" t="s">
        <v>66</v>
      </c>
      <c r="E3" s="66">
        <v>1</v>
      </c>
      <c r="F3" s="66">
        <v>10</v>
      </c>
      <c r="G3" s="66">
        <v>50</v>
      </c>
      <c r="H3" s="66">
        <v>100</v>
      </c>
      <c r="I3" s="66"/>
      <c r="J3" s="66"/>
    </row>
    <row r="4" spans="1:21" x14ac:dyDescent="0.35">
      <c r="A4" s="59"/>
      <c r="B4" s="66" t="s">
        <v>19</v>
      </c>
      <c r="C4" s="66" t="s">
        <v>20</v>
      </c>
      <c r="D4" s="66"/>
      <c r="E4" s="522">
        <f>E21*E3</f>
        <v>41242.547460544745</v>
      </c>
      <c r="F4" s="522">
        <f t="shared" ref="F4:H4" si="0">F21*F3</f>
        <v>324076.92110597034</v>
      </c>
      <c r="G4" s="522">
        <f t="shared" si="0"/>
        <v>1369108.2306041645</v>
      </c>
      <c r="H4" s="522">
        <f t="shared" si="0"/>
        <v>2546541.308923746</v>
      </c>
      <c r="I4" s="66"/>
      <c r="J4" s="66"/>
      <c r="U4" s="544"/>
    </row>
    <row r="5" spans="1:21" x14ac:dyDescent="0.35">
      <c r="A5" s="59"/>
      <c r="B5" s="66" t="s">
        <v>21</v>
      </c>
      <c r="C5" s="66" t="s">
        <v>22</v>
      </c>
      <c r="D5" s="66"/>
      <c r="E5" s="522">
        <f>E20*E3</f>
        <v>41242.547460544745</v>
      </c>
      <c r="F5" s="522">
        <f t="shared" ref="F5:H5" si="1">F20*F3</f>
        <v>324076.92110597034</v>
      </c>
      <c r="G5" s="522">
        <f t="shared" si="1"/>
        <v>1369108.2306041645</v>
      </c>
      <c r="H5" s="522">
        <f t="shared" si="1"/>
        <v>2546541.308923746</v>
      </c>
      <c r="I5" s="66"/>
      <c r="J5" s="66"/>
      <c r="U5" s="544"/>
    </row>
    <row r="6" spans="1:21" s="544" customFormat="1" x14ac:dyDescent="0.35">
      <c r="A6" s="486"/>
      <c r="B6" s="544" t="s">
        <v>23</v>
      </c>
      <c r="C6" s="544" t="s">
        <v>385</v>
      </c>
      <c r="E6" s="441">
        <v>0</v>
      </c>
      <c r="F6" s="522">
        <v>0</v>
      </c>
      <c r="G6" s="522">
        <v>0</v>
      </c>
      <c r="H6" s="522">
        <v>0</v>
      </c>
    </row>
    <row r="7" spans="1:21" x14ac:dyDescent="0.35">
      <c r="A7" s="59"/>
      <c r="B7" s="66" t="s">
        <v>23</v>
      </c>
      <c r="C7" s="484" t="s">
        <v>25</v>
      </c>
      <c r="D7" s="66"/>
      <c r="E7" s="441">
        <f>20%*E4</f>
        <v>8248.5094921089494</v>
      </c>
      <c r="F7" s="441">
        <f t="shared" ref="F7:H7" si="2">20%*F4</f>
        <v>64815.384221194072</v>
      </c>
      <c r="G7" s="441">
        <f t="shared" si="2"/>
        <v>273821.64612083294</v>
      </c>
      <c r="H7" s="441">
        <f t="shared" si="2"/>
        <v>509308.26178474922</v>
      </c>
      <c r="I7" s="66"/>
      <c r="J7" s="66"/>
      <c r="U7" s="544"/>
    </row>
    <row r="8" spans="1:21" s="544" customFormat="1" x14ac:dyDescent="0.35">
      <c r="A8" s="486"/>
      <c r="B8" s="544" t="s">
        <v>24</v>
      </c>
      <c r="C8" s="544" t="s">
        <v>17</v>
      </c>
      <c r="E8" s="522"/>
      <c r="F8" s="522"/>
      <c r="G8" s="522"/>
      <c r="H8" s="522"/>
    </row>
    <row r="9" spans="1:21" x14ac:dyDescent="0.35">
      <c r="A9" s="59"/>
      <c r="B9" s="66"/>
      <c r="C9" s="66"/>
      <c r="D9" s="41"/>
      <c r="E9" s="41"/>
      <c r="F9" s="41"/>
      <c r="G9" s="41"/>
      <c r="H9" s="66"/>
      <c r="I9" s="66"/>
      <c r="J9" s="66"/>
      <c r="U9" s="544"/>
    </row>
    <row r="10" spans="1:21" x14ac:dyDescent="0.35">
      <c r="A10" s="59"/>
      <c r="B10" s="20" t="s">
        <v>81</v>
      </c>
      <c r="C10" s="20"/>
      <c r="D10" s="21"/>
      <c r="E10" s="332">
        <f>SUM(E4:E7)</f>
        <v>90733.604413198438</v>
      </c>
      <c r="F10" s="332">
        <f>SUM(F4:F7)</f>
        <v>712969.22643313475</v>
      </c>
      <c r="G10" s="332">
        <f>SUM(G4:G7)</f>
        <v>3012038.1073291618</v>
      </c>
      <c r="H10" s="332">
        <f>SUM(H4:H7)</f>
        <v>5602390.8796322411</v>
      </c>
      <c r="I10" s="66"/>
      <c r="J10" s="66"/>
      <c r="U10" s="544"/>
    </row>
    <row r="11" spans="1:21" x14ac:dyDescent="0.35">
      <c r="A11" s="59"/>
      <c r="B11" s="66"/>
      <c r="C11" s="66"/>
      <c r="D11" s="41"/>
      <c r="E11" s="41"/>
      <c r="F11" s="41"/>
      <c r="G11" s="41"/>
      <c r="H11" s="66"/>
      <c r="I11" s="66"/>
      <c r="J11" s="66"/>
    </row>
    <row r="12" spans="1:21" s="725" customFormat="1" x14ac:dyDescent="0.35">
      <c r="A12" s="687" t="s">
        <v>1360</v>
      </c>
      <c r="D12" s="522"/>
      <c r="E12" s="522"/>
      <c r="F12" s="522"/>
      <c r="G12" s="522"/>
    </row>
    <row r="13" spans="1:21" s="725" customFormat="1" x14ac:dyDescent="0.35">
      <c r="A13" s="687"/>
      <c r="B13" s="725" t="s">
        <v>1388</v>
      </c>
      <c r="D13" s="517">
        <f>'Performance &amp; Economics'!G13</f>
        <v>412.42547460544745</v>
      </c>
      <c r="E13" s="522" t="s">
        <v>148</v>
      </c>
      <c r="F13" s="522"/>
      <c r="G13" s="522"/>
    </row>
    <row r="14" spans="1:21" s="725" customFormat="1" x14ac:dyDescent="0.35">
      <c r="A14" s="687"/>
      <c r="B14" s="725" t="s">
        <v>1394</v>
      </c>
      <c r="D14" s="288">
        <v>2</v>
      </c>
      <c r="E14" s="522"/>
      <c r="F14" s="522"/>
      <c r="G14" s="522"/>
    </row>
    <row r="15" spans="1:21" s="725" customFormat="1" x14ac:dyDescent="0.35">
      <c r="A15" s="687"/>
      <c r="B15" s="725" t="s">
        <v>1395</v>
      </c>
      <c r="D15" s="517">
        <f>D14*D13</f>
        <v>824.8509492108949</v>
      </c>
      <c r="E15" s="522" t="s">
        <v>148</v>
      </c>
      <c r="F15" s="288">
        <f>D15*9.81*1000/10^6</f>
        <v>8.0917878117588788</v>
      </c>
      <c r="G15" s="522" t="s">
        <v>1396</v>
      </c>
    </row>
    <row r="16" spans="1:21" s="725" customFormat="1" x14ac:dyDescent="0.35">
      <c r="A16" s="687"/>
      <c r="B16" s="725" t="s">
        <v>1397</v>
      </c>
      <c r="D16" s="517">
        <v>100</v>
      </c>
      <c r="E16" s="522"/>
      <c r="F16" s="522"/>
      <c r="G16" s="522"/>
    </row>
    <row r="17" spans="1:10" s="725" customFormat="1" x14ac:dyDescent="0.35">
      <c r="A17" s="687"/>
      <c r="D17" s="522"/>
      <c r="E17" s="522"/>
      <c r="F17" s="522"/>
      <c r="G17" s="522"/>
    </row>
    <row r="18" spans="1:10" s="725" customFormat="1" x14ac:dyDescent="0.35">
      <c r="A18" s="687"/>
      <c r="B18" s="725" t="s">
        <v>1398</v>
      </c>
      <c r="D18" s="288">
        <f>D15/D16</f>
        <v>8.2485094921089495</v>
      </c>
      <c r="E18" s="522" t="s">
        <v>148</v>
      </c>
      <c r="F18" s="522"/>
      <c r="G18" s="522"/>
    </row>
    <row r="19" spans="1:10" s="725" customFormat="1" x14ac:dyDescent="0.35">
      <c r="A19" s="687"/>
      <c r="B19" s="725" t="s">
        <v>1399</v>
      </c>
      <c r="D19" s="522"/>
      <c r="E19" s="522">
        <v>5000</v>
      </c>
      <c r="F19" s="522">
        <f>$E$19*F3^(LOG10($J$19)/LOG10(2))</f>
        <v>3928.9149320371521</v>
      </c>
      <c r="G19" s="522">
        <f t="shared" ref="G19:H19" si="3">$E$19*G3^(LOG10($J$19)/LOG10(2))</f>
        <v>3319.6500092869892</v>
      </c>
      <c r="H19" s="522">
        <f t="shared" si="3"/>
        <v>3087.2745086368996</v>
      </c>
      <c r="I19" s="725" t="s">
        <v>1400</v>
      </c>
      <c r="J19" s="725">
        <v>0.93</v>
      </c>
    </row>
    <row r="20" spans="1:10" s="725" customFormat="1" x14ac:dyDescent="0.35">
      <c r="A20" s="687"/>
      <c r="B20" s="725" t="s">
        <v>1401</v>
      </c>
      <c r="D20" s="522"/>
      <c r="E20" s="522">
        <f>$D$18*E19</f>
        <v>41242.547460544745</v>
      </c>
      <c r="F20" s="522">
        <f t="shared" ref="F20:H20" si="4">$D$18*F19</f>
        <v>32407.692110597036</v>
      </c>
      <c r="G20" s="522">
        <f t="shared" si="4"/>
        <v>27382.164612083292</v>
      </c>
      <c r="H20" s="522">
        <f t="shared" si="4"/>
        <v>25465.41308923746</v>
      </c>
    </row>
    <row r="21" spans="1:10" s="725" customFormat="1" x14ac:dyDescent="0.35">
      <c r="A21" s="687"/>
      <c r="B21" s="725" t="s">
        <v>1402</v>
      </c>
      <c r="D21" s="522"/>
      <c r="E21" s="522">
        <f>E20</f>
        <v>41242.547460544745</v>
      </c>
      <c r="F21" s="522">
        <f t="shared" ref="F21:H21" si="5">F20</f>
        <v>32407.692110597036</v>
      </c>
      <c r="G21" s="522">
        <f t="shared" si="5"/>
        <v>27382.164612083292</v>
      </c>
      <c r="H21" s="522">
        <f t="shared" si="5"/>
        <v>25465.41308923746</v>
      </c>
    </row>
    <row r="22" spans="1:10" s="725" customFormat="1" x14ac:dyDescent="0.35">
      <c r="A22" s="687"/>
      <c r="D22" s="522"/>
      <c r="E22" s="522"/>
      <c r="F22" s="522"/>
      <c r="G22" s="522"/>
    </row>
    <row r="23" spans="1:10" s="725" customFormat="1" x14ac:dyDescent="0.35">
      <c r="A23" s="687"/>
      <c r="B23" s="329" t="s">
        <v>81</v>
      </c>
      <c r="C23" s="329"/>
      <c r="D23" s="332"/>
      <c r="E23" s="332">
        <f>E21+E20</f>
        <v>82485.094921089491</v>
      </c>
      <c r="F23" s="332">
        <f t="shared" ref="F23:H23" si="6">F21+F20</f>
        <v>64815.384221194072</v>
      </c>
      <c r="G23" s="332">
        <f t="shared" si="6"/>
        <v>54764.329224166584</v>
      </c>
      <c r="H23" s="332">
        <f t="shared" si="6"/>
        <v>50930.826178474919</v>
      </c>
    </row>
    <row r="24" spans="1:10" s="725" customFormat="1" x14ac:dyDescent="0.35">
      <c r="A24" s="687"/>
      <c r="D24" s="522"/>
      <c r="E24" s="522"/>
      <c r="F24" s="522"/>
      <c r="G24" s="522"/>
    </row>
    <row r="26" spans="1:10" s="293" customFormat="1" x14ac:dyDescent="0.35">
      <c r="A26" s="211" t="s">
        <v>144</v>
      </c>
    </row>
    <row r="27" spans="1:10" s="293" customFormat="1" x14ac:dyDescent="0.35">
      <c r="A27" s="293" t="s">
        <v>19</v>
      </c>
      <c r="B27" s="293" t="s">
        <v>307</v>
      </c>
    </row>
    <row r="28" spans="1:10" s="293" customFormat="1" x14ac:dyDescent="0.35">
      <c r="A28" s="293" t="s">
        <v>21</v>
      </c>
      <c r="B28" s="544" t="s">
        <v>307</v>
      </c>
    </row>
    <row r="29" spans="1:10" s="293" customFormat="1" x14ac:dyDescent="0.35">
      <c r="A29" s="293" t="s">
        <v>23</v>
      </c>
      <c r="B29" s="544" t="s">
        <v>307</v>
      </c>
    </row>
    <row r="30" spans="1:10" s="690" customFormat="1" x14ac:dyDescent="0.35">
      <c r="A30" s="690" t="s">
        <v>24</v>
      </c>
      <c r="B30" s="690" t="s">
        <v>307</v>
      </c>
    </row>
    <row r="31" spans="1:10" s="293" customFormat="1" x14ac:dyDescent="0.35"/>
    <row r="32" spans="1:10" s="293" customFormat="1" x14ac:dyDescent="0.35">
      <c r="A32" s="211" t="s">
        <v>232</v>
      </c>
    </row>
    <row r="33" spans="1:14" s="293" customFormat="1" x14ac:dyDescent="0.35">
      <c r="A33" s="544" t="s">
        <v>19</v>
      </c>
      <c r="B33" s="293" t="s">
        <v>308</v>
      </c>
      <c r="N33" s="212"/>
    </row>
    <row r="34" spans="1:14" s="293" customFormat="1" x14ac:dyDescent="0.35">
      <c r="A34" s="544" t="s">
        <v>21</v>
      </c>
      <c r="B34" s="544" t="s">
        <v>308</v>
      </c>
    </row>
    <row r="35" spans="1:14" s="293" customFormat="1" x14ac:dyDescent="0.35">
      <c r="A35" s="544" t="s">
        <v>23</v>
      </c>
      <c r="B35" s="544" t="s">
        <v>308</v>
      </c>
    </row>
    <row r="36" spans="1:14" x14ac:dyDescent="0.35">
      <c r="A36" t="s">
        <v>24</v>
      </c>
      <c r="B36" t="s">
        <v>308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61"/>
  <sheetViews>
    <sheetView zoomScaleNormal="100" workbookViewId="0">
      <selection activeCell="L36" sqref="L36"/>
    </sheetView>
  </sheetViews>
  <sheetFormatPr defaultColWidth="9.08984375" defaultRowHeight="14.5" x14ac:dyDescent="0.35"/>
  <cols>
    <col min="1" max="1" width="7.08984375" style="12" customWidth="1"/>
    <col min="2" max="2" width="3.54296875" style="12" customWidth="1"/>
    <col min="3" max="3" width="7.08984375" style="12" customWidth="1"/>
    <col min="4" max="4" width="40.6328125" style="12" bestFit="1" customWidth="1"/>
    <col min="5" max="5" width="15.08984375" style="12" bestFit="1" customWidth="1"/>
    <col min="6" max="6" width="17.90625" style="12" customWidth="1"/>
    <col min="7" max="7" width="18.54296875" style="12" customWidth="1"/>
    <col min="8" max="8" width="16.36328125" style="12" bestFit="1" customWidth="1"/>
    <col min="9" max="9" width="17.08984375" style="12" bestFit="1" customWidth="1"/>
    <col min="10" max="10" width="12" style="12" customWidth="1"/>
    <col min="11" max="11" width="11.90625" style="12" customWidth="1"/>
    <col min="12" max="12" width="16.36328125" style="12" bestFit="1" customWidth="1"/>
    <col min="13" max="13" width="10.54296875" style="12" customWidth="1"/>
    <col min="14" max="15" width="9.08984375" style="12"/>
    <col min="16" max="17" width="8.90625" customWidth="1"/>
    <col min="18" max="16384" width="9.08984375" style="12"/>
  </cols>
  <sheetData>
    <row r="1" spans="1:22" x14ac:dyDescent="0.35">
      <c r="A1" s="486" t="s">
        <v>389</v>
      </c>
      <c r="P1" s="12"/>
      <c r="Q1" s="12"/>
    </row>
    <row r="2" spans="1:22" x14ac:dyDescent="0.35">
      <c r="A2" s="15"/>
      <c r="P2" s="12"/>
      <c r="Q2" s="12"/>
    </row>
    <row r="3" spans="1:22" x14ac:dyDescent="0.35">
      <c r="A3" s="13" t="s">
        <v>108</v>
      </c>
      <c r="E3" s="12">
        <v>1</v>
      </c>
      <c r="F3" s="12">
        <v>10</v>
      </c>
      <c r="G3" s="12">
        <v>50</v>
      </c>
      <c r="H3" s="12">
        <v>100</v>
      </c>
      <c r="I3" s="213" t="s">
        <v>109</v>
      </c>
      <c r="P3" s="12"/>
      <c r="Q3" s="12"/>
    </row>
    <row r="4" spans="1:22" x14ac:dyDescent="0.35">
      <c r="A4" s="15"/>
      <c r="B4" s="12" t="s">
        <v>28</v>
      </c>
      <c r="D4" s="12" t="str">
        <f>B13</f>
        <v>Surface Float</v>
      </c>
      <c r="E4" s="107">
        <f>F25*E3</f>
        <v>270507.94648357714</v>
      </c>
      <c r="F4" s="107">
        <f t="shared" ref="F4:H4" si="0">G25*F3</f>
        <v>1881787.9525681739</v>
      </c>
      <c r="G4" s="107">
        <f t="shared" si="0"/>
        <v>8280660.3493042989</v>
      </c>
      <c r="H4" s="107">
        <f t="shared" si="0"/>
        <v>16047232.097562512</v>
      </c>
      <c r="I4" s="57">
        <f>E22</f>
        <v>205.44</v>
      </c>
      <c r="P4" s="12"/>
      <c r="Q4" s="12"/>
    </row>
    <row r="5" spans="1:22" x14ac:dyDescent="0.35">
      <c r="A5" s="15"/>
      <c r="B5" s="12" t="s">
        <v>29</v>
      </c>
      <c r="D5" s="66"/>
      <c r="E5" s="107">
        <v>0</v>
      </c>
      <c r="F5" s="107">
        <v>0</v>
      </c>
      <c r="G5" s="107">
        <v>0</v>
      </c>
      <c r="H5" s="107">
        <v>0</v>
      </c>
      <c r="I5" s="57">
        <v>0</v>
      </c>
      <c r="P5" s="12"/>
      <c r="Q5" s="12"/>
    </row>
    <row r="6" spans="1:22" x14ac:dyDescent="0.35">
      <c r="A6" s="15"/>
      <c r="B6" s="12" t="s">
        <v>30</v>
      </c>
      <c r="D6" s="66"/>
      <c r="E6" s="107">
        <v>0</v>
      </c>
      <c r="F6" s="107">
        <v>0</v>
      </c>
      <c r="G6" s="107">
        <v>0</v>
      </c>
      <c r="H6" s="107">
        <v>0</v>
      </c>
      <c r="I6" s="57">
        <v>0</v>
      </c>
      <c r="P6" s="12"/>
      <c r="Q6" s="12"/>
    </row>
    <row r="7" spans="1:22" x14ac:dyDescent="0.35">
      <c r="A7" s="15"/>
      <c r="B7" s="12" t="s">
        <v>31</v>
      </c>
      <c r="D7" s="66" t="str">
        <f>B29</f>
        <v>Device Access (Railings, Ladders, etc)</v>
      </c>
      <c r="E7" s="857">
        <f>F34*E3</f>
        <v>27050.794648357714</v>
      </c>
      <c r="F7" s="857">
        <f t="shared" ref="F7:H7" si="1">G34*F3</f>
        <v>188178.79525681739</v>
      </c>
      <c r="G7" s="857">
        <f t="shared" si="1"/>
        <v>828066.03493042989</v>
      </c>
      <c r="H7" s="857">
        <f t="shared" si="1"/>
        <v>1604723.2097562514</v>
      </c>
      <c r="I7" s="57">
        <f>E36</f>
        <v>12.429119999999999</v>
      </c>
      <c r="P7" s="12"/>
      <c r="Q7" s="12"/>
    </row>
    <row r="8" spans="1:22" x14ac:dyDescent="0.35">
      <c r="A8" s="15"/>
      <c r="E8" s="107"/>
      <c r="F8" s="107"/>
      <c r="G8" s="107"/>
      <c r="H8" s="107"/>
      <c r="P8" s="12"/>
      <c r="Q8" s="12"/>
    </row>
    <row r="9" spans="1:22" x14ac:dyDescent="0.35">
      <c r="A9" s="15"/>
      <c r="C9" s="20" t="s">
        <v>81</v>
      </c>
      <c r="D9" s="20"/>
      <c r="E9" s="109">
        <f>SUM(E4:E7)</f>
        <v>297558.74113193486</v>
      </c>
      <c r="F9" s="109">
        <f>SUM(F4:F7)</f>
        <v>2069966.7478249914</v>
      </c>
      <c r="G9" s="109">
        <f>SUM(G4:G7)</f>
        <v>9108726.3842347283</v>
      </c>
      <c r="H9" s="109">
        <f>SUM(H4:H7)</f>
        <v>17651955.307318762</v>
      </c>
      <c r="I9" s="22">
        <f>SUM(I4:I7)</f>
        <v>217.86912000000001</v>
      </c>
      <c r="K9" s="485"/>
      <c r="L9" s="485"/>
      <c r="M9" s="485"/>
      <c r="N9" s="485"/>
      <c r="O9" s="485"/>
      <c r="P9" s="485"/>
      <c r="Q9" s="485"/>
      <c r="R9" s="485"/>
      <c r="S9" s="485"/>
      <c r="T9" s="485"/>
      <c r="U9" s="485"/>
      <c r="V9" s="485"/>
    </row>
    <row r="10" spans="1:22" x14ac:dyDescent="0.35">
      <c r="B10" s="15"/>
      <c r="E10" s="64"/>
      <c r="F10" s="64"/>
      <c r="G10" s="64"/>
      <c r="H10" s="64"/>
      <c r="K10" s="545"/>
      <c r="L10" s="545"/>
      <c r="M10" s="545"/>
      <c r="N10" s="545"/>
      <c r="O10" s="545"/>
      <c r="P10" s="545"/>
      <c r="Q10" s="545"/>
      <c r="R10" s="545"/>
      <c r="S10" s="545"/>
      <c r="T10" s="545"/>
      <c r="U10" s="545"/>
      <c r="V10" s="485"/>
    </row>
    <row r="11" spans="1:22" x14ac:dyDescent="0.35">
      <c r="F11" s="65"/>
      <c r="G11" s="65"/>
      <c r="K11" s="545"/>
      <c r="L11" s="545"/>
      <c r="M11" s="545"/>
      <c r="N11" s="545"/>
      <c r="O11" s="545"/>
      <c r="P11" s="545"/>
      <c r="Q11" s="545"/>
      <c r="R11" s="545"/>
      <c r="S11" s="545"/>
      <c r="T11" s="545"/>
      <c r="U11" s="545"/>
      <c r="V11" s="485"/>
    </row>
    <row r="12" spans="1:22" s="16" customFormat="1" x14ac:dyDescent="0.35">
      <c r="C12" s="31"/>
      <c r="F12" s="28"/>
      <c r="G12" s="28"/>
      <c r="H12" s="28"/>
      <c r="I12" s="30"/>
      <c r="J12" s="28"/>
      <c r="K12" s="540"/>
      <c r="L12" s="29"/>
      <c r="M12" s="30"/>
      <c r="N12" s="545"/>
      <c r="O12" s="545"/>
      <c r="P12" s="545"/>
      <c r="Q12" s="545"/>
      <c r="R12" s="545"/>
      <c r="S12" s="545"/>
      <c r="T12" s="545"/>
      <c r="U12" s="545"/>
      <c r="V12" s="485"/>
    </row>
    <row r="13" spans="1:22" s="16" customFormat="1" x14ac:dyDescent="0.35">
      <c r="A13" s="33" t="s">
        <v>28</v>
      </c>
      <c r="B13" s="33" t="s">
        <v>270</v>
      </c>
      <c r="K13" s="545"/>
      <c r="L13" s="549"/>
      <c r="M13" s="549"/>
      <c r="N13" s="549"/>
      <c r="O13" s="545"/>
      <c r="P13" s="549"/>
      <c r="Q13" s="545"/>
      <c r="R13" s="545"/>
      <c r="S13" s="545"/>
      <c r="T13" s="545"/>
      <c r="U13" s="545"/>
      <c r="V13" s="485"/>
    </row>
    <row r="14" spans="1:22" x14ac:dyDescent="0.35">
      <c r="F14" s="82" t="s">
        <v>85</v>
      </c>
      <c r="G14" s="82" t="s">
        <v>105</v>
      </c>
      <c r="H14" s="82" t="s">
        <v>107</v>
      </c>
      <c r="I14" s="82" t="s">
        <v>106</v>
      </c>
      <c r="K14" s="545"/>
      <c r="L14" s="549"/>
      <c r="M14" s="524"/>
      <c r="N14" s="524"/>
      <c r="O14" s="525"/>
      <c r="P14" s="524"/>
      <c r="Q14" s="545"/>
      <c r="R14" s="545"/>
      <c r="S14" s="545"/>
      <c r="T14" s="545"/>
      <c r="U14" s="545"/>
      <c r="V14" s="485"/>
    </row>
    <row r="15" spans="1:22" x14ac:dyDescent="0.35">
      <c r="C15" s="12" t="s">
        <v>128</v>
      </c>
      <c r="F15" s="689">
        <v>440328.23313186696</v>
      </c>
      <c r="G15" s="716">
        <v>371343.60666105297</v>
      </c>
      <c r="H15" s="716">
        <v>352262.58650549361</v>
      </c>
      <c r="I15" s="716">
        <v>352262.58650549361</v>
      </c>
      <c r="J15" s="18"/>
      <c r="K15" s="482"/>
      <c r="L15" s="549"/>
      <c r="M15" s="471"/>
      <c r="N15" s="471"/>
      <c r="O15" s="471"/>
      <c r="P15" s="471"/>
      <c r="Q15" s="545"/>
      <c r="R15" s="545"/>
      <c r="S15" s="545"/>
      <c r="T15" s="545"/>
      <c r="U15" s="545"/>
      <c r="V15" s="485"/>
    </row>
    <row r="16" spans="1:22" x14ac:dyDescent="0.35">
      <c r="C16" s="12" t="s">
        <v>129</v>
      </c>
      <c r="F16" s="689">
        <v>259506.7383354773</v>
      </c>
      <c r="G16" s="716">
        <v>182871.29727293825</v>
      </c>
      <c r="H16" s="716">
        <v>143185.79754117693</v>
      </c>
      <c r="I16" s="716">
        <v>128867.21778705923</v>
      </c>
      <c r="J16" s="18"/>
      <c r="K16" s="482"/>
      <c r="L16" s="549"/>
      <c r="M16" s="471"/>
      <c r="N16" s="471"/>
      <c r="O16" s="471"/>
      <c r="P16" s="471"/>
      <c r="Q16" s="545"/>
      <c r="R16" s="545"/>
      <c r="S16" s="545"/>
      <c r="T16" s="545"/>
      <c r="U16" s="545"/>
      <c r="V16" s="485"/>
    </row>
    <row r="17" spans="1:22" s="71" customFormat="1" x14ac:dyDescent="0.35">
      <c r="C17" s="71" t="s">
        <v>149</v>
      </c>
      <c r="F17" s="689">
        <v>113111.52435106934</v>
      </c>
      <c r="G17" s="689">
        <v>11311.152435106933</v>
      </c>
      <c r="H17" s="689">
        <v>2262.2304870213866</v>
      </c>
      <c r="I17" s="689">
        <v>1131.1152435106933</v>
      </c>
      <c r="J17" s="41"/>
      <c r="K17" s="482"/>
      <c r="L17" s="549"/>
      <c r="M17" s="471"/>
      <c r="N17" s="471"/>
      <c r="O17" s="471"/>
      <c r="P17" s="471"/>
      <c r="Q17" s="481"/>
      <c r="R17" s="481"/>
      <c r="S17" s="481"/>
      <c r="T17" s="481"/>
      <c r="U17" s="545"/>
      <c r="V17" s="485"/>
    </row>
    <row r="18" spans="1:22" x14ac:dyDescent="0.35">
      <c r="C18" s="17" t="s">
        <v>110</v>
      </c>
      <c r="D18" s="16"/>
      <c r="E18" s="16"/>
      <c r="F18" s="689">
        <v>81294.649581841368</v>
      </c>
      <c r="G18" s="689">
        <v>56552.605636909815</v>
      </c>
      <c r="H18" s="689">
        <v>49771.061453369191</v>
      </c>
      <c r="I18" s="689">
        <v>48226.091953606359</v>
      </c>
      <c r="J18" s="18"/>
      <c r="K18" s="482"/>
      <c r="L18" s="549"/>
      <c r="M18" s="471"/>
      <c r="N18" s="471"/>
      <c r="O18" s="471"/>
      <c r="P18" s="471"/>
      <c r="Q18" s="545"/>
      <c r="R18" s="545"/>
      <c r="S18" s="545"/>
      <c r="T18" s="545"/>
      <c r="U18" s="545"/>
      <c r="V18" s="485"/>
    </row>
    <row r="19" spans="1:22" s="71" customFormat="1" x14ac:dyDescent="0.35">
      <c r="C19" s="62"/>
      <c r="D19" s="67"/>
      <c r="E19" s="67"/>
      <c r="F19" s="336"/>
      <c r="G19" s="336"/>
      <c r="H19" s="336"/>
      <c r="I19" s="336"/>
      <c r="J19" s="41"/>
      <c r="K19" s="545"/>
      <c r="L19" s="549"/>
      <c r="M19" s="471"/>
      <c r="N19" s="471"/>
      <c r="O19" s="471"/>
      <c r="P19" s="471"/>
      <c r="Q19" s="545"/>
      <c r="R19" s="545"/>
      <c r="S19" s="545"/>
      <c r="T19" s="545"/>
      <c r="U19" s="545"/>
      <c r="V19" s="485"/>
    </row>
    <row r="20" spans="1:22" s="60" customFormat="1" x14ac:dyDescent="0.35">
      <c r="C20" s="111" t="s">
        <v>81</v>
      </c>
      <c r="D20" s="26"/>
      <c r="E20" s="26"/>
      <c r="F20" s="322">
        <f>SUM(F15:F18)</f>
        <v>894241.14540025499</v>
      </c>
      <c r="G20" s="322">
        <f>SUM(G15:G18)</f>
        <v>622078.66200600797</v>
      </c>
      <c r="H20" s="322">
        <f>SUM(H15:H18)</f>
        <v>547481.67598706111</v>
      </c>
      <c r="I20" s="322">
        <f>SUM(I15:I18)</f>
        <v>530487.01148966991</v>
      </c>
      <c r="J20" s="110"/>
      <c r="K20" s="548"/>
      <c r="L20" s="548"/>
      <c r="M20" s="548"/>
      <c r="N20" s="548"/>
      <c r="O20" s="548"/>
      <c r="P20" s="548"/>
      <c r="Q20" s="548"/>
      <c r="R20" s="548"/>
      <c r="S20" s="548"/>
      <c r="T20" s="548"/>
      <c r="U20" s="548"/>
      <c r="V20" s="461"/>
    </row>
    <row r="21" spans="1:22" x14ac:dyDescent="0.35">
      <c r="C21" s="456" t="s">
        <v>209</v>
      </c>
      <c r="D21" s="16"/>
      <c r="E21" s="16"/>
      <c r="F21" s="27">
        <f>F20/$E$22</f>
        <v>4352.8093136694652</v>
      </c>
      <c r="G21" s="27">
        <f t="shared" ref="G21:I21" si="2">G20/$E$22</f>
        <v>3028.0308703563474</v>
      </c>
      <c r="H21" s="27">
        <f t="shared" si="2"/>
        <v>2664.9224882547755</v>
      </c>
      <c r="I21" s="27">
        <f t="shared" si="2"/>
        <v>2582.199238170122</v>
      </c>
      <c r="J21" s="18"/>
      <c r="K21" s="545"/>
      <c r="L21" s="545"/>
      <c r="M21" s="545"/>
      <c r="N21" s="545"/>
      <c r="O21" s="545"/>
      <c r="P21" s="545"/>
      <c r="Q21" s="545"/>
      <c r="R21" s="545"/>
      <c r="S21" s="545"/>
      <c r="T21" s="545"/>
      <c r="U21" s="545"/>
      <c r="V21" s="485"/>
    </row>
    <row r="22" spans="1:22" x14ac:dyDescent="0.35">
      <c r="C22" s="17" t="s">
        <v>111</v>
      </c>
      <c r="D22" s="16"/>
      <c r="E22" s="27">
        <v>205.44</v>
      </c>
      <c r="F22" s="34" t="s">
        <v>148</v>
      </c>
      <c r="G22" s="29"/>
      <c r="H22" s="29"/>
      <c r="I22" s="29"/>
      <c r="J22" s="18"/>
      <c r="K22" s="545"/>
      <c r="L22" s="545"/>
      <c r="M22" s="545"/>
      <c r="N22" s="545"/>
      <c r="O22" s="545"/>
      <c r="P22" s="545"/>
      <c r="Q22" s="545"/>
      <c r="R22" s="545"/>
      <c r="S22" s="545"/>
      <c r="T22" s="545"/>
      <c r="U22" s="545"/>
      <c r="V22" s="485"/>
    </row>
    <row r="23" spans="1:22" s="725" customFormat="1" x14ac:dyDescent="0.35">
      <c r="C23" s="547"/>
      <c r="D23" s="545"/>
      <c r="E23" s="27"/>
      <c r="F23" s="34"/>
      <c r="G23" s="29"/>
      <c r="H23" s="29"/>
      <c r="I23" s="29"/>
      <c r="J23" s="522"/>
      <c r="K23" s="545"/>
      <c r="L23" s="545"/>
      <c r="M23" s="545"/>
      <c r="N23" s="545"/>
      <c r="O23" s="545"/>
      <c r="P23" s="545"/>
      <c r="Q23" s="545"/>
      <c r="R23" s="545"/>
      <c r="S23" s="545"/>
      <c r="T23" s="545"/>
      <c r="U23" s="545"/>
      <c r="V23" s="545"/>
    </row>
    <row r="24" spans="1:22" s="725" customFormat="1" x14ac:dyDescent="0.35">
      <c r="B24" s="725" t="s">
        <v>1404</v>
      </c>
      <c r="C24" s="547"/>
      <c r="D24" s="545"/>
      <c r="E24" s="34">
        <f>20^2/11^2</f>
        <v>3.3057851239669422</v>
      </c>
      <c r="F24" s="34" t="s">
        <v>1405</v>
      </c>
      <c r="G24" s="29"/>
      <c r="H24" s="29"/>
      <c r="I24" s="29"/>
      <c r="J24" s="522"/>
      <c r="K24" s="545"/>
      <c r="L24" s="545"/>
      <c r="M24" s="545"/>
      <c r="N24" s="545"/>
      <c r="O24" s="545"/>
      <c r="P24" s="545"/>
      <c r="Q24" s="545"/>
      <c r="R24" s="545"/>
      <c r="S24" s="545"/>
      <c r="T24" s="545"/>
      <c r="U24" s="545"/>
      <c r="V24" s="545"/>
    </row>
    <row r="25" spans="1:22" s="725" customFormat="1" x14ac:dyDescent="0.35">
      <c r="B25" s="329" t="s">
        <v>1406</v>
      </c>
      <c r="C25" s="79"/>
      <c r="D25" s="329"/>
      <c r="E25" s="22"/>
      <c r="F25" s="22">
        <f>F20/$E$24</f>
        <v>270507.94648357714</v>
      </c>
      <c r="G25" s="22">
        <f t="shared" ref="G25:I25" si="3">G20/$E$24</f>
        <v>188178.79525681739</v>
      </c>
      <c r="H25" s="22">
        <f t="shared" si="3"/>
        <v>165613.20698608598</v>
      </c>
      <c r="I25" s="22">
        <f t="shared" si="3"/>
        <v>160472.32097562513</v>
      </c>
      <c r="J25" s="522"/>
      <c r="K25" s="545"/>
      <c r="L25" s="545"/>
      <c r="M25" s="545"/>
      <c r="N25" s="545"/>
      <c r="O25" s="545"/>
      <c r="P25" s="545"/>
      <c r="Q25" s="545"/>
      <c r="R25" s="545"/>
      <c r="S25" s="545"/>
      <c r="T25" s="545"/>
      <c r="U25" s="545"/>
      <c r="V25" s="545"/>
    </row>
    <row r="26" spans="1:22" s="725" customFormat="1" x14ac:dyDescent="0.35">
      <c r="B26" s="725" t="s">
        <v>1407</v>
      </c>
      <c r="C26" s="547"/>
      <c r="D26" s="545"/>
      <c r="E26" s="27">
        <f>E22/E24</f>
        <v>62.145599999999995</v>
      </c>
      <c r="F26" s="34" t="s">
        <v>148</v>
      </c>
      <c r="G26" s="29"/>
      <c r="H26" s="29"/>
      <c r="I26" s="29"/>
      <c r="J26" s="522"/>
      <c r="K26" s="545"/>
      <c r="L26" s="545"/>
      <c r="M26" s="545"/>
      <c r="N26" s="545"/>
      <c r="O26" s="545"/>
      <c r="P26" s="545"/>
      <c r="Q26" s="545"/>
      <c r="R26" s="545"/>
      <c r="S26" s="545"/>
      <c r="T26" s="545"/>
      <c r="U26" s="545"/>
      <c r="V26" s="545"/>
    </row>
    <row r="27" spans="1:22" x14ac:dyDescent="0.35">
      <c r="K27" s="545"/>
      <c r="L27" s="545"/>
      <c r="M27" s="545"/>
      <c r="N27" s="545"/>
      <c r="O27" s="545"/>
      <c r="P27" s="545"/>
      <c r="Q27" s="545"/>
      <c r="R27" s="545"/>
      <c r="S27" s="545"/>
      <c r="T27" s="545"/>
      <c r="U27" s="545"/>
      <c r="V27" s="485"/>
    </row>
    <row r="28" spans="1:22" x14ac:dyDescent="0.35">
      <c r="F28" s="14"/>
      <c r="G28" s="14"/>
      <c r="H28" s="14"/>
      <c r="I28" s="14"/>
      <c r="J28" s="14"/>
      <c r="K28" s="545"/>
      <c r="L28" s="545"/>
      <c r="M28" s="545"/>
      <c r="N28" s="545"/>
      <c r="O28" s="545"/>
      <c r="P28" s="545"/>
      <c r="Q28" s="545"/>
      <c r="R28" s="545"/>
      <c r="S28" s="545"/>
      <c r="T28" s="545"/>
      <c r="U28" s="545"/>
      <c r="V28" s="485"/>
    </row>
    <row r="29" spans="1:22" x14ac:dyDescent="0.35">
      <c r="A29" s="59" t="s">
        <v>31</v>
      </c>
      <c r="B29" s="59" t="s">
        <v>63</v>
      </c>
      <c r="C29" s="66"/>
      <c r="D29" s="66"/>
      <c r="E29" s="66"/>
      <c r="F29" s="66"/>
      <c r="G29" s="66"/>
      <c r="H29" s="66"/>
      <c r="I29" s="66"/>
      <c r="J29" s="18"/>
      <c r="K29" s="545"/>
      <c r="L29" s="545"/>
      <c r="M29" s="545"/>
      <c r="N29" s="545"/>
      <c r="O29" s="545"/>
      <c r="P29" s="545"/>
      <c r="Q29" s="545"/>
      <c r="R29" s="545"/>
      <c r="S29" s="545"/>
      <c r="T29" s="545"/>
      <c r="U29" s="545"/>
      <c r="V29" s="485"/>
    </row>
    <row r="30" spans="1:22" x14ac:dyDescent="0.35">
      <c r="A30" s="66"/>
      <c r="B30" s="66"/>
      <c r="C30" s="66"/>
      <c r="D30" s="66"/>
      <c r="E30" s="66"/>
      <c r="F30" s="63" t="s">
        <v>85</v>
      </c>
      <c r="G30" s="63" t="s">
        <v>105</v>
      </c>
      <c r="H30" s="63" t="s">
        <v>107</v>
      </c>
      <c r="I30" s="63" t="s">
        <v>106</v>
      </c>
      <c r="K30" s="545"/>
      <c r="L30" s="545"/>
      <c r="M30" s="545"/>
      <c r="N30" s="545"/>
      <c r="O30" s="545"/>
      <c r="P30" s="545"/>
      <c r="Q30" s="545"/>
      <c r="R30" s="545"/>
      <c r="S30" s="545"/>
      <c r="T30" s="545"/>
      <c r="U30" s="545"/>
      <c r="V30" s="485"/>
    </row>
    <row r="31" spans="1:22" s="71" customFormat="1" x14ac:dyDescent="0.35">
      <c r="C31" s="71" t="s">
        <v>147</v>
      </c>
      <c r="F31" s="112">
        <f>F25</f>
        <v>270507.94648357714</v>
      </c>
      <c r="G31" s="455">
        <f t="shared" ref="G31:I31" si="4">G25</f>
        <v>188178.79525681739</v>
      </c>
      <c r="H31" s="455">
        <f t="shared" si="4"/>
        <v>165613.20698608598</v>
      </c>
      <c r="I31" s="455">
        <f t="shared" si="4"/>
        <v>160472.32097562513</v>
      </c>
      <c r="K31" s="482"/>
      <c r="L31" s="482"/>
      <c r="M31" s="482"/>
      <c r="N31" s="485"/>
      <c r="O31" s="485"/>
      <c r="P31" s="485"/>
      <c r="Q31" s="485"/>
      <c r="R31" s="485"/>
      <c r="S31" s="485"/>
      <c r="T31" s="485"/>
      <c r="U31" s="485"/>
      <c r="V31" s="485"/>
    </row>
    <row r="32" spans="1:22" x14ac:dyDescent="0.35">
      <c r="A32" s="66"/>
      <c r="B32" s="66"/>
      <c r="C32" s="66" t="s">
        <v>133</v>
      </c>
      <c r="D32" s="66"/>
      <c r="E32" s="66"/>
      <c r="F32" s="204">
        <v>0.1</v>
      </c>
      <c r="G32" s="204">
        <v>0.1</v>
      </c>
      <c r="H32" s="204">
        <v>0.1</v>
      </c>
      <c r="I32" s="204">
        <v>0.1</v>
      </c>
      <c r="K32" s="485"/>
      <c r="L32" s="485"/>
      <c r="M32" s="485"/>
      <c r="N32" s="485"/>
      <c r="O32" s="485"/>
      <c r="P32" s="485"/>
      <c r="Q32" s="485"/>
      <c r="R32" s="485"/>
      <c r="S32" s="485"/>
      <c r="T32" s="485"/>
      <c r="U32" s="485"/>
      <c r="V32" s="485"/>
    </row>
    <row r="33" spans="1:22" s="71" customFormat="1" x14ac:dyDescent="0.35">
      <c r="F33" s="108"/>
      <c r="G33" s="108"/>
      <c r="H33" s="108"/>
      <c r="I33" s="108"/>
      <c r="K33" s="485"/>
      <c r="L33" s="485"/>
      <c r="M33" s="485"/>
      <c r="N33" s="485"/>
      <c r="O33" s="485"/>
      <c r="P33" s="485"/>
      <c r="Q33" s="485"/>
      <c r="R33" s="485"/>
      <c r="S33" s="485"/>
      <c r="T33" s="485"/>
      <c r="U33" s="485"/>
      <c r="V33" s="485"/>
    </row>
    <row r="34" spans="1:22" s="60" customFormat="1" x14ac:dyDescent="0.35">
      <c r="C34" s="111" t="s">
        <v>81</v>
      </c>
      <c r="D34" s="26"/>
      <c r="E34" s="26"/>
      <c r="F34" s="113">
        <f>F32*F31</f>
        <v>27050.794648357714</v>
      </c>
      <c r="G34" s="113">
        <f t="shared" ref="G34:I34" si="5">G32*G31</f>
        <v>18817.879525681739</v>
      </c>
      <c r="H34" s="113">
        <f t="shared" si="5"/>
        <v>16561.320698608597</v>
      </c>
      <c r="I34" s="113">
        <f t="shared" si="5"/>
        <v>16047.232097562513</v>
      </c>
    </row>
    <row r="35" spans="1:22" x14ac:dyDescent="0.35">
      <c r="A35" s="66"/>
      <c r="B35" s="66"/>
      <c r="C35" s="456" t="s">
        <v>209</v>
      </c>
      <c r="D35" s="67"/>
      <c r="E35" s="67"/>
      <c r="F35" s="49">
        <f>F34/$E$36</f>
        <v>2176.404656834733</v>
      </c>
      <c r="G35" s="493">
        <f t="shared" ref="G35:I35" si="6">G34/$E$36</f>
        <v>1514.0154351781734</v>
      </c>
      <c r="H35" s="493">
        <f t="shared" si="6"/>
        <v>1332.4612441273878</v>
      </c>
      <c r="I35" s="493">
        <f t="shared" si="6"/>
        <v>1291.099619085061</v>
      </c>
    </row>
    <row r="36" spans="1:22" x14ac:dyDescent="0.35">
      <c r="A36" s="66"/>
      <c r="B36" s="66"/>
      <c r="C36" s="62" t="s">
        <v>210</v>
      </c>
      <c r="D36" s="67"/>
      <c r="E36" s="73">
        <f>20%*E26</f>
        <v>12.429119999999999</v>
      </c>
      <c r="F36" s="27" t="s">
        <v>148</v>
      </c>
      <c r="G36" s="49"/>
      <c r="H36" s="49"/>
      <c r="I36" s="49"/>
    </row>
    <row r="39" spans="1:22" x14ac:dyDescent="0.35">
      <c r="A39" s="59"/>
      <c r="B39" s="59"/>
      <c r="C39" s="66"/>
      <c r="D39" s="66"/>
      <c r="E39" s="66"/>
      <c r="F39" s="66"/>
      <c r="G39" s="66"/>
      <c r="H39" s="66"/>
      <c r="I39" s="66"/>
    </row>
    <row r="40" spans="1:22" x14ac:dyDescent="0.35">
      <c r="A40" s="66"/>
      <c r="B40" s="66"/>
      <c r="C40" s="66"/>
      <c r="D40" s="66"/>
      <c r="E40" s="66"/>
      <c r="F40" s="82"/>
      <c r="G40" s="82"/>
      <c r="H40" s="82"/>
      <c r="I40" s="82"/>
    </row>
    <row r="41" spans="1:22" x14ac:dyDescent="0.35">
      <c r="A41" s="66"/>
      <c r="B41" s="66"/>
      <c r="C41" s="66"/>
      <c r="D41" s="66"/>
      <c r="E41" s="66"/>
      <c r="F41" s="208"/>
      <c r="G41" s="208"/>
      <c r="H41" s="208"/>
      <c r="I41" s="208"/>
      <c r="K41" s="65"/>
      <c r="L41" s="65"/>
      <c r="M41" s="65"/>
    </row>
    <row r="42" spans="1:22" x14ac:dyDescent="0.35">
      <c r="A42" s="66"/>
      <c r="B42" s="66"/>
      <c r="C42" s="66"/>
      <c r="D42" s="66"/>
      <c r="E42" s="66"/>
      <c r="F42" s="208"/>
      <c r="G42" s="208"/>
      <c r="H42" s="208"/>
      <c r="I42" s="208"/>
      <c r="K42" s="65"/>
      <c r="L42" s="65"/>
      <c r="M42" s="65"/>
    </row>
    <row r="43" spans="1:22" s="71" customFormat="1" x14ac:dyDescent="0.35">
      <c r="F43" s="208"/>
      <c r="G43" s="208"/>
      <c r="H43" s="208"/>
      <c r="I43" s="208"/>
      <c r="K43" s="65"/>
      <c r="L43" s="65"/>
      <c r="M43" s="65"/>
    </row>
    <row r="44" spans="1:22" x14ac:dyDescent="0.35">
      <c r="A44" s="66"/>
      <c r="B44" s="66"/>
      <c r="C44" s="67"/>
      <c r="D44" s="67"/>
      <c r="E44" s="67"/>
      <c r="F44" s="203"/>
      <c r="G44" s="203"/>
      <c r="H44" s="203"/>
      <c r="I44" s="203"/>
      <c r="K44" s="65"/>
      <c r="L44" s="65"/>
      <c r="M44" s="65"/>
    </row>
    <row r="45" spans="1:22" s="71" customFormat="1" x14ac:dyDescent="0.35">
      <c r="C45" s="67"/>
      <c r="D45" s="67"/>
      <c r="E45" s="67"/>
      <c r="F45" s="209"/>
      <c r="G45" s="209"/>
      <c r="H45" s="209"/>
      <c r="I45" s="209"/>
    </row>
    <row r="46" spans="1:22" s="60" customFormat="1" x14ac:dyDescent="0.35">
      <c r="C46" s="111"/>
      <c r="D46" s="26"/>
      <c r="E46" s="26"/>
      <c r="F46" s="109"/>
      <c r="G46" s="109"/>
      <c r="H46" s="109"/>
      <c r="I46" s="109"/>
    </row>
    <row r="47" spans="1:22" x14ac:dyDescent="0.35">
      <c r="A47" s="66"/>
      <c r="B47" s="66"/>
      <c r="C47" s="31"/>
      <c r="D47" s="67"/>
      <c r="E47" s="67"/>
      <c r="F47" s="324"/>
      <c r="G47" s="221"/>
      <c r="H47" s="221"/>
      <c r="I47" s="221"/>
    </row>
    <row r="48" spans="1:22" x14ac:dyDescent="0.35">
      <c r="A48" s="66"/>
      <c r="B48" s="66"/>
      <c r="C48" s="62"/>
      <c r="D48" s="67"/>
      <c r="E48" s="73"/>
      <c r="F48" s="27"/>
      <c r="G48" s="49"/>
      <c r="H48" s="49"/>
      <c r="I48" s="49"/>
    </row>
    <row r="50" spans="1:2" s="293" customFormat="1" x14ac:dyDescent="0.35">
      <c r="A50" s="211" t="s">
        <v>144</v>
      </c>
    </row>
    <row r="51" spans="1:2" s="293" customFormat="1" x14ac:dyDescent="0.35">
      <c r="A51" s="293" t="s">
        <v>28</v>
      </c>
      <c r="B51" s="293" t="s">
        <v>1403</v>
      </c>
    </row>
    <row r="52" spans="1:2" s="718" customFormat="1" x14ac:dyDescent="0.35">
      <c r="A52" s="718" t="s">
        <v>29</v>
      </c>
    </row>
    <row r="53" spans="1:2" s="335" customFormat="1" x14ac:dyDescent="0.35">
      <c r="A53" s="335" t="s">
        <v>30</v>
      </c>
      <c r="B53" s="718"/>
    </row>
    <row r="54" spans="1:2" s="293" customFormat="1" x14ac:dyDescent="0.35">
      <c r="A54" s="293" t="s">
        <v>31</v>
      </c>
      <c r="B54" s="293" t="s">
        <v>1408</v>
      </c>
    </row>
    <row r="55" spans="1:2" s="293" customFormat="1" x14ac:dyDescent="0.35"/>
    <row r="56" spans="1:2" s="293" customFormat="1" x14ac:dyDescent="0.35">
      <c r="A56" s="211" t="s">
        <v>232</v>
      </c>
    </row>
    <row r="57" spans="1:2" s="293" customFormat="1" x14ac:dyDescent="0.35">
      <c r="A57" s="293" t="s">
        <v>28</v>
      </c>
      <c r="B57" s="293" t="s">
        <v>486</v>
      </c>
    </row>
    <row r="58" spans="1:2" s="293" customFormat="1" x14ac:dyDescent="0.35">
      <c r="A58" s="293" t="s">
        <v>29</v>
      </c>
      <c r="B58" s="725"/>
    </row>
    <row r="59" spans="1:2" s="293" customFormat="1" x14ac:dyDescent="0.35">
      <c r="A59" s="293" t="s">
        <v>30</v>
      </c>
      <c r="B59" s="725"/>
    </row>
    <row r="60" spans="1:2" s="293" customFormat="1" x14ac:dyDescent="0.35">
      <c r="A60" s="293" t="s">
        <v>31</v>
      </c>
      <c r="B60" s="293" t="s">
        <v>234</v>
      </c>
    </row>
    <row r="61" spans="1:2" s="293" customFormat="1" x14ac:dyDescent="0.35"/>
  </sheetData>
  <pageMargins left="0.7" right="0.7" top="0.75" bottom="0.75" header="0.3" footer="0.3"/>
  <pageSetup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
  <sheetViews>
    <sheetView zoomScale="80" zoomScaleNormal="80" workbookViewId="0">
      <selection activeCell="J22" sqref="J22"/>
    </sheetView>
  </sheetViews>
  <sheetFormatPr defaultColWidth="9.08984375" defaultRowHeight="14.5" x14ac:dyDescent="0.35"/>
  <cols>
    <col min="1" max="3" width="4.08984375" style="71" customWidth="1"/>
    <col min="4" max="4" width="4.54296875" style="71" customWidth="1"/>
    <col min="5" max="5" width="65.90625" style="71" customWidth="1"/>
    <col min="6" max="6" width="31.36328125" style="71" customWidth="1"/>
    <col min="7" max="7" width="17.90625" style="71" customWidth="1"/>
    <col min="8" max="8" width="18.6328125" style="71" customWidth="1"/>
    <col min="9" max="9" width="19.6328125" style="71" customWidth="1"/>
    <col min="10" max="10" width="24.90625" style="71" customWidth="1"/>
    <col min="11" max="11" width="24.08984375" style="71" bestFit="1" customWidth="1"/>
    <col min="12" max="12" width="21.453125" style="71" customWidth="1"/>
    <col min="13" max="13" width="16.6328125" style="71" customWidth="1"/>
    <col min="14" max="17" width="9.08984375" style="71"/>
    <col min="18" max="19" width="9" style="71" customWidth="1"/>
    <col min="20" max="20" width="9.08984375" style="71"/>
    <col min="21" max="21" width="9.6328125" style="71" customWidth="1"/>
    <col min="22" max="22" width="12.54296875" style="71" customWidth="1"/>
    <col min="23" max="23" width="8.36328125" style="71" customWidth="1"/>
    <col min="24" max="24" width="9.08984375" style="71"/>
    <col min="25" max="25" width="17.36328125" style="71" customWidth="1"/>
    <col min="26" max="27" width="9.08984375" style="71"/>
    <col min="28" max="28" width="11.6328125" style="71" customWidth="1"/>
    <col min="29" max="16384" width="9.08984375" style="71"/>
  </cols>
  <sheetData>
    <row r="1" spans="1:14" x14ac:dyDescent="0.35">
      <c r="A1" s="486" t="s">
        <v>390</v>
      </c>
    </row>
    <row r="3" spans="1:14" x14ac:dyDescent="0.35">
      <c r="A3" s="59" t="s">
        <v>108</v>
      </c>
      <c r="F3" s="213" t="s">
        <v>249</v>
      </c>
      <c r="G3" s="71">
        <v>1</v>
      </c>
      <c r="H3" s="71">
        <v>10</v>
      </c>
      <c r="I3" s="71">
        <v>50</v>
      </c>
      <c r="J3" s="71">
        <v>100</v>
      </c>
      <c r="K3" s="71" t="s">
        <v>113</v>
      </c>
      <c r="L3" s="71" t="s">
        <v>136</v>
      </c>
    </row>
    <row r="4" spans="1:14" x14ac:dyDescent="0.35">
      <c r="A4" s="59"/>
      <c r="B4" s="904" t="s">
        <v>33</v>
      </c>
      <c r="C4" s="904"/>
      <c r="D4" s="232"/>
      <c r="E4" s="594" t="s">
        <v>34</v>
      </c>
      <c r="F4" s="229">
        <f>SUMIF($F$55:$F$76,"="&amp;E4,$H$55:$H$76)</f>
        <v>23259.919999999998</v>
      </c>
      <c r="G4" s="298">
        <f>SUMIF($F$27:$F$48,"="&amp;E4,$H$27:$H$48)</f>
        <v>29880</v>
      </c>
      <c r="H4" s="298">
        <f>$G4*H$3^(LOG10($K4)/LOG10(2))*H$3</f>
        <v>263628.68961100199</v>
      </c>
      <c r="I4" s="298">
        <f t="shared" ref="H4:J16" si="0">$G4*I$3^(LOG10($K4)/LOG10(2))*I$3</f>
        <v>1207666.8606581793</v>
      </c>
      <c r="J4" s="298">
        <f>$G4*J$3^(LOG10($K4)/LOG10(2))*J$3</f>
        <v>2325973.4265734283</v>
      </c>
      <c r="K4" s="299">
        <v>0.96300292007092581</v>
      </c>
      <c r="L4" s="300">
        <f>SUMIF($F$27:$F$44,"="&amp;E4,$K$27:$K$44)</f>
        <v>2407</v>
      </c>
    </row>
    <row r="5" spans="1:14" x14ac:dyDescent="0.35">
      <c r="B5" s="904" t="s">
        <v>35</v>
      </c>
      <c r="C5" s="904"/>
      <c r="D5" s="232"/>
      <c r="E5" s="594" t="s">
        <v>329</v>
      </c>
      <c r="F5" s="404">
        <f>SUMIF($F$55:$F$76,"="&amp;E5,$H$55:$H$76)</f>
        <v>111156.92000000001</v>
      </c>
      <c r="G5" s="298">
        <f t="shared" ref="G5:G16" si="1">SUMIF($F$27:$F$48,"="&amp;E5,$H$27:$H$48)</f>
        <v>133659.88</v>
      </c>
      <c r="H5" s="298">
        <f t="shared" si="0"/>
        <v>1218904.1529981499</v>
      </c>
      <c r="I5" s="298">
        <f t="shared" si="0"/>
        <v>5714243.4123841198</v>
      </c>
      <c r="J5" s="298">
        <f>$G5*J$3^(LOG10($K5)/LOG10(2))*J$3</f>
        <v>11115731.468531448</v>
      </c>
      <c r="K5" s="299">
        <v>0.97263370374116587</v>
      </c>
      <c r="L5" s="300">
        <f t="shared" ref="L5:L16" si="2">SUMIF($F$27:$F$44,"="&amp;E5,$K$27:$K$44)</f>
        <v>9235.0098684807253</v>
      </c>
    </row>
    <row r="6" spans="1:14" x14ac:dyDescent="0.35">
      <c r="B6" s="214" t="s">
        <v>36</v>
      </c>
      <c r="C6" s="214"/>
      <c r="D6" s="214"/>
      <c r="E6" s="595" t="s">
        <v>328</v>
      </c>
      <c r="F6" s="404">
        <f t="shared" ref="F6:F16" si="3">SUMIF($F$55:$F$76,"="&amp;E6,$H$55:$H$76)</f>
        <v>27224</v>
      </c>
      <c r="G6" s="298">
        <f t="shared" si="1"/>
        <v>65736</v>
      </c>
      <c r="H6" s="298">
        <f t="shared" si="0"/>
        <v>423036.27078543307</v>
      </c>
      <c r="I6" s="298">
        <f t="shared" si="0"/>
        <v>1554342.8104411936</v>
      </c>
      <c r="J6" s="298">
        <f t="shared" si="0"/>
        <v>2722400.0000007036</v>
      </c>
      <c r="K6" s="299">
        <v>0.87573988881769349</v>
      </c>
      <c r="L6" s="300">
        <f t="shared" si="2"/>
        <v>1500.64</v>
      </c>
    </row>
    <row r="7" spans="1:14" x14ac:dyDescent="0.35">
      <c r="B7" s="214" t="s">
        <v>37</v>
      </c>
      <c r="C7" s="214"/>
      <c r="D7" s="214"/>
      <c r="E7" s="595" t="s">
        <v>39</v>
      </c>
      <c r="F7" s="404">
        <f>SUMIF($F$55:$F$76,"="&amp;E7,$H$55:$H$76)</f>
        <v>22410</v>
      </c>
      <c r="G7" s="298">
        <f t="shared" si="1"/>
        <v>99600</v>
      </c>
      <c r="H7" s="229">
        <f t="shared" si="0"/>
        <v>472444.28242960834</v>
      </c>
      <c r="I7" s="229">
        <f t="shared" si="0"/>
        <v>1402549.2095253095</v>
      </c>
      <c r="J7" s="229">
        <f t="shared" si="0"/>
        <v>2241000.0000042925</v>
      </c>
      <c r="K7" s="299">
        <v>0.79890245019023443</v>
      </c>
      <c r="L7" s="300">
        <f t="shared" si="2"/>
        <v>1324.68</v>
      </c>
    </row>
    <row r="8" spans="1:14" x14ac:dyDescent="0.35">
      <c r="B8" s="214" t="s">
        <v>40</v>
      </c>
      <c r="C8" s="214"/>
      <c r="D8" s="214"/>
      <c r="E8" s="595" t="s">
        <v>41</v>
      </c>
      <c r="F8" s="404">
        <f t="shared" si="3"/>
        <v>49800</v>
      </c>
      <c r="G8" s="298">
        <f t="shared" si="1"/>
        <v>66400</v>
      </c>
      <c r="H8" s="229">
        <f t="shared" si="0"/>
        <v>575040.86811254045</v>
      </c>
      <c r="I8" s="229">
        <f t="shared" si="0"/>
        <v>2600186.5097842282</v>
      </c>
      <c r="J8" s="229">
        <f t="shared" si="0"/>
        <v>4979999.9999943404</v>
      </c>
      <c r="K8" s="299">
        <v>0.95762361300912935</v>
      </c>
      <c r="L8" s="300">
        <f t="shared" si="2"/>
        <v>0</v>
      </c>
    </row>
    <row r="9" spans="1:14" x14ac:dyDescent="0.35">
      <c r="B9" s="214" t="s">
        <v>42</v>
      </c>
      <c r="C9" s="214"/>
      <c r="D9" s="214"/>
      <c r="E9" s="595" t="s">
        <v>43</v>
      </c>
      <c r="F9" s="404">
        <f>SUMIF($F$55:$F$76,"="&amp;E9,$H$55:$H$76)</f>
        <v>88000</v>
      </c>
      <c r="G9" s="298">
        <f t="shared" si="1"/>
        <v>88000</v>
      </c>
      <c r="H9" s="229">
        <f t="shared" si="0"/>
        <v>880000</v>
      </c>
      <c r="I9" s="229">
        <f t="shared" si="0"/>
        <v>4400000</v>
      </c>
      <c r="J9" s="229">
        <f t="shared" si="0"/>
        <v>8800000</v>
      </c>
      <c r="K9" s="299">
        <v>1</v>
      </c>
      <c r="L9" s="300">
        <f t="shared" si="2"/>
        <v>0</v>
      </c>
    </row>
    <row r="10" spans="1:14" x14ac:dyDescent="0.35">
      <c r="A10" s="25"/>
      <c r="B10" s="219" t="s">
        <v>44</v>
      </c>
      <c r="C10" s="219"/>
      <c r="D10" s="219"/>
      <c r="E10" s="596" t="s">
        <v>45</v>
      </c>
      <c r="F10" s="404">
        <f t="shared" si="3"/>
        <v>0</v>
      </c>
      <c r="G10" s="298">
        <f t="shared" si="1"/>
        <v>0</v>
      </c>
      <c r="H10" s="229">
        <f t="shared" si="0"/>
        <v>0</v>
      </c>
      <c r="I10" s="229">
        <f t="shared" si="0"/>
        <v>0</v>
      </c>
      <c r="J10" s="229">
        <f t="shared" si="0"/>
        <v>0</v>
      </c>
      <c r="K10" s="299">
        <v>0.96699999999999997</v>
      </c>
      <c r="L10" s="300">
        <f t="shared" si="2"/>
        <v>0</v>
      </c>
    </row>
    <row r="11" spans="1:14" x14ac:dyDescent="0.35">
      <c r="B11" s="214" t="s">
        <v>46</v>
      </c>
      <c r="C11" s="214"/>
      <c r="D11" s="214"/>
      <c r="E11" s="595" t="s">
        <v>60</v>
      </c>
      <c r="F11" s="404">
        <f t="shared" si="3"/>
        <v>0</v>
      </c>
      <c r="G11" s="298">
        <f t="shared" si="1"/>
        <v>0</v>
      </c>
      <c r="H11" s="229">
        <f t="shared" si="0"/>
        <v>0</v>
      </c>
      <c r="I11" s="229">
        <f t="shared" si="0"/>
        <v>0</v>
      </c>
      <c r="J11" s="229">
        <f t="shared" si="0"/>
        <v>0</v>
      </c>
      <c r="K11" s="299">
        <v>0.96699999999999997</v>
      </c>
      <c r="L11" s="300">
        <f t="shared" si="2"/>
        <v>0</v>
      </c>
    </row>
    <row r="12" spans="1:14" x14ac:dyDescent="0.35">
      <c r="B12" s="214" t="s">
        <v>61</v>
      </c>
      <c r="C12" s="214"/>
      <c r="D12" s="214"/>
      <c r="E12" s="595" t="s">
        <v>62</v>
      </c>
      <c r="F12" s="404">
        <f t="shared" si="3"/>
        <v>16600</v>
      </c>
      <c r="G12" s="298">
        <f t="shared" si="1"/>
        <v>17347</v>
      </c>
      <c r="H12" s="229">
        <f>$G12*H$3^(LOG10($K12)/LOG10(2))*H$3</f>
        <v>163280.79865049251</v>
      </c>
      <c r="I12" s="229">
        <f t="shared" si="0"/>
        <v>782581.74735770188</v>
      </c>
      <c r="J12" s="229">
        <f>$G12*J$3^(LOG10($K12)/LOG10(2))*J$3</f>
        <v>1536900.8593960153</v>
      </c>
      <c r="K12" s="299">
        <v>0.98194269453969885</v>
      </c>
      <c r="L12" s="300">
        <f t="shared" si="2"/>
        <v>0</v>
      </c>
    </row>
    <row r="13" spans="1:14" x14ac:dyDescent="0.35">
      <c r="B13" s="214" t="s">
        <v>67</v>
      </c>
      <c r="C13" s="214"/>
      <c r="D13" s="214"/>
      <c r="E13" s="595" t="s">
        <v>64</v>
      </c>
      <c r="F13" s="404">
        <f t="shared" si="3"/>
        <v>23184.600000000002</v>
      </c>
      <c r="G13" s="298">
        <f t="shared" si="1"/>
        <v>30912.800000000003</v>
      </c>
      <c r="H13" s="229">
        <f t="shared" si="0"/>
        <v>267712.78984402725</v>
      </c>
      <c r="I13" s="229">
        <f t="shared" si="0"/>
        <v>1210528.4766381376</v>
      </c>
      <c r="J13" s="229">
        <f t="shared" si="0"/>
        <v>2318461.538458901</v>
      </c>
      <c r="K13" s="299">
        <v>0.95762370865396729</v>
      </c>
      <c r="L13" s="300">
        <f t="shared" si="2"/>
        <v>0</v>
      </c>
    </row>
    <row r="14" spans="1:14" x14ac:dyDescent="0.35">
      <c r="B14" s="219" t="s">
        <v>68</v>
      </c>
      <c r="C14" s="219"/>
      <c r="D14" s="219"/>
      <c r="E14" s="596" t="s">
        <v>65</v>
      </c>
      <c r="F14" s="404">
        <f t="shared" si="3"/>
        <v>15210</v>
      </c>
      <c r="G14" s="298">
        <f t="shared" si="1"/>
        <v>67329.600000000006</v>
      </c>
      <c r="H14" s="229">
        <f t="shared" si="0"/>
        <v>583094.12110315671</v>
      </c>
      <c r="I14" s="229">
        <f t="shared" si="0"/>
        <v>2636609.7159600006</v>
      </c>
      <c r="J14" s="229">
        <f t="shared" si="0"/>
        <v>5049766.4335606154</v>
      </c>
      <c r="K14" s="299">
        <v>0.95762493838075957</v>
      </c>
      <c r="L14" s="300">
        <f t="shared" si="2"/>
        <v>0</v>
      </c>
    </row>
    <row r="15" spans="1:14" x14ac:dyDescent="0.35">
      <c r="B15" s="214" t="s">
        <v>69</v>
      </c>
      <c r="C15" s="214"/>
      <c r="D15" s="214"/>
      <c r="E15" s="595" t="s">
        <v>134</v>
      </c>
      <c r="F15" s="404">
        <f t="shared" si="3"/>
        <v>6640</v>
      </c>
      <c r="G15" s="298">
        <f t="shared" si="1"/>
        <v>33200</v>
      </c>
      <c r="H15" s="229">
        <f t="shared" si="0"/>
        <v>148474.91370932138</v>
      </c>
      <c r="I15" s="229">
        <f t="shared" si="0"/>
        <v>423003.10221263254</v>
      </c>
      <c r="J15" s="229">
        <f t="shared" si="0"/>
        <v>664000.00002983201</v>
      </c>
      <c r="K15" s="299">
        <v>0.78486422032911807</v>
      </c>
      <c r="L15" s="300">
        <f t="shared" si="2"/>
        <v>0</v>
      </c>
    </row>
    <row r="16" spans="1:14" x14ac:dyDescent="0.35">
      <c r="B16" s="214" t="s">
        <v>70</v>
      </c>
      <c r="C16" s="214"/>
      <c r="D16" s="214"/>
      <c r="E16" s="595" t="s">
        <v>17</v>
      </c>
      <c r="F16" s="404">
        <f t="shared" si="3"/>
        <v>3320</v>
      </c>
      <c r="G16" s="298">
        <f t="shared" si="1"/>
        <v>16600</v>
      </c>
      <c r="H16" s="229">
        <f t="shared" si="0"/>
        <v>74237.45685466069</v>
      </c>
      <c r="I16" s="229">
        <f>$G16*I$3^(LOG10($K16)/LOG10(2))*I$3</f>
        <v>211501.55110631627</v>
      </c>
      <c r="J16" s="229">
        <f t="shared" si="0"/>
        <v>332000.000014916</v>
      </c>
      <c r="K16" s="299">
        <v>0.78486422032911807</v>
      </c>
      <c r="L16" s="300">
        <f t="shared" si="2"/>
        <v>0</v>
      </c>
      <c r="N16" s="293"/>
    </row>
    <row r="17" spans="2:25" x14ac:dyDescent="0.35">
      <c r="B17" s="214"/>
      <c r="C17" s="214"/>
      <c r="D17" s="214"/>
      <c r="E17" s="214"/>
      <c r="F17" s="234"/>
      <c r="G17" s="234"/>
      <c r="H17" s="234"/>
      <c r="I17" s="234"/>
      <c r="J17" s="234"/>
      <c r="K17" s="214"/>
    </row>
    <row r="18" spans="2:25" x14ac:dyDescent="0.35">
      <c r="B18" s="214"/>
      <c r="C18" s="214"/>
      <c r="D18" s="214"/>
      <c r="E18" s="233" t="s">
        <v>80</v>
      </c>
      <c r="F18" s="234"/>
      <c r="G18" s="234">
        <f>SUM(G4:G16)</f>
        <v>648665.28</v>
      </c>
      <c r="H18" s="234">
        <f t="shared" ref="H18:I18" si="4">SUM(H4:H16)</f>
        <v>5069854.344098391</v>
      </c>
      <c r="I18" s="234">
        <f t="shared" si="4"/>
        <v>22143213.396067817</v>
      </c>
      <c r="J18" s="234">
        <f>SUM(J4:J16)</f>
        <v>42086233.726564497</v>
      </c>
      <c r="K18" s="217"/>
      <c r="L18" s="317">
        <f>SUM(L4:L16)</f>
        <v>14467.329868480725</v>
      </c>
    </row>
    <row r="19" spans="2:25" x14ac:dyDescent="0.35">
      <c r="B19" s="74"/>
      <c r="C19" s="74"/>
      <c r="D19" s="74"/>
      <c r="E19" s="75" t="s">
        <v>114</v>
      </c>
      <c r="F19" s="235">
        <f>SUM(F4:F16)</f>
        <v>386805.44</v>
      </c>
      <c r="G19" s="235">
        <f>G18/G3</f>
        <v>648665.28</v>
      </c>
      <c r="H19" s="235">
        <f>H18/H3</f>
        <v>506985.4344098391</v>
      </c>
      <c r="I19" s="235">
        <f>I18/I3</f>
        <v>442864.26792135631</v>
      </c>
      <c r="J19" s="859">
        <f>J18/J3</f>
        <v>420862.33726564498</v>
      </c>
      <c r="K19" s="214"/>
    </row>
    <row r="20" spans="2:25" x14ac:dyDescent="0.35">
      <c r="E20" s="71" t="s">
        <v>1415</v>
      </c>
      <c r="F20" s="41"/>
      <c r="G20" s="65">
        <f>G19/$E$22</f>
        <v>1953.8110843373495</v>
      </c>
      <c r="H20" s="65">
        <f t="shared" ref="H20:J20" si="5">H19/$E$22</f>
        <v>1527.0645614754189</v>
      </c>
      <c r="I20" s="65">
        <f t="shared" si="5"/>
        <v>1333.9285178354105</v>
      </c>
      <c r="J20" s="65">
        <f t="shared" si="5"/>
        <v>1267.6576423664005</v>
      </c>
      <c r="O20" s="62"/>
      <c r="P20" s="62"/>
      <c r="Q20" s="62"/>
      <c r="R20" s="62"/>
      <c r="S20" s="62"/>
      <c r="T20" s="62"/>
      <c r="U20" s="62"/>
      <c r="V20" s="62"/>
      <c r="W20" s="62"/>
      <c r="X20" s="62"/>
      <c r="Y20" s="62"/>
    </row>
    <row r="21" spans="2:25" x14ac:dyDescent="0.35">
      <c r="J21" s="50"/>
      <c r="O21" s="62"/>
      <c r="P21" s="62"/>
      <c r="Q21" s="62"/>
      <c r="R21" s="62"/>
      <c r="S21" s="62"/>
      <c r="T21" s="62"/>
      <c r="U21" s="62"/>
      <c r="V21" s="62"/>
      <c r="W21" s="62"/>
      <c r="X21" s="62"/>
      <c r="Y21" s="62"/>
    </row>
    <row r="22" spans="2:25" x14ac:dyDescent="0.35">
      <c r="B22" s="329" t="s">
        <v>1409</v>
      </c>
      <c r="C22" s="329"/>
      <c r="D22" s="329"/>
      <c r="E22" s="858">
        <f>'Performance &amp; Economics'!G7</f>
        <v>332</v>
      </c>
      <c r="F22" s="329" t="s">
        <v>135</v>
      </c>
      <c r="O22" s="62"/>
      <c r="P22" s="62"/>
      <c r="Q22" s="62"/>
      <c r="R22" s="62"/>
      <c r="S22" s="62"/>
      <c r="T22" s="62"/>
      <c r="U22" s="62"/>
      <c r="V22" s="62"/>
      <c r="W22" s="62"/>
      <c r="X22" s="62"/>
      <c r="Y22" s="62"/>
    </row>
    <row r="23" spans="2:25" x14ac:dyDescent="0.35">
      <c r="O23" s="62"/>
      <c r="P23" s="62"/>
      <c r="Q23" s="62"/>
      <c r="R23" s="62"/>
      <c r="S23" s="62"/>
      <c r="T23" s="62"/>
      <c r="U23" s="62"/>
      <c r="V23" s="62"/>
      <c r="W23" s="62"/>
      <c r="X23" s="62"/>
      <c r="Y23" s="62"/>
    </row>
    <row r="24" spans="2:25" x14ac:dyDescent="0.35">
      <c r="B24" s="59" t="s">
        <v>309</v>
      </c>
      <c r="C24" s="59"/>
      <c r="H24" s="462"/>
      <c r="O24" s="62"/>
      <c r="P24" s="62"/>
      <c r="Q24" s="62"/>
      <c r="R24" s="62"/>
      <c r="S24" s="62"/>
      <c r="T24" s="62"/>
      <c r="U24" s="62"/>
      <c r="V24" s="62"/>
      <c r="W24" s="62"/>
      <c r="X24" s="62"/>
      <c r="Y24" s="62"/>
    </row>
    <row r="25" spans="2:25" x14ac:dyDescent="0.35">
      <c r="O25" s="62"/>
      <c r="P25" s="62"/>
      <c r="Q25" s="62"/>
      <c r="R25" s="62"/>
      <c r="S25" s="62"/>
      <c r="T25" s="62"/>
      <c r="U25" s="62"/>
      <c r="V25" s="62"/>
      <c r="W25" s="62"/>
      <c r="X25" s="62"/>
      <c r="Y25" s="62"/>
    </row>
    <row r="26" spans="2:25" x14ac:dyDescent="0.35">
      <c r="E26" s="59" t="s">
        <v>83</v>
      </c>
      <c r="F26" s="59" t="s">
        <v>112</v>
      </c>
      <c r="G26" s="59" t="s">
        <v>330</v>
      </c>
      <c r="H26" s="59" t="s">
        <v>1410</v>
      </c>
      <c r="I26" s="59"/>
      <c r="J26" s="59" t="s">
        <v>485</v>
      </c>
      <c r="K26" s="486" t="s">
        <v>1414</v>
      </c>
      <c r="L26" s="59"/>
      <c r="M26" s="59"/>
      <c r="O26" s="62"/>
      <c r="P26" s="62"/>
      <c r="Q26" s="62"/>
      <c r="R26" s="62"/>
      <c r="S26" s="62"/>
      <c r="T26" s="62"/>
      <c r="U26" s="62"/>
      <c r="V26" s="62"/>
      <c r="W26" s="62"/>
      <c r="X26" s="62"/>
      <c r="Y26" s="62"/>
    </row>
    <row r="27" spans="2:25" x14ac:dyDescent="0.35">
      <c r="D27" s="71">
        <v>1</v>
      </c>
      <c r="E27" s="460" t="s">
        <v>310</v>
      </c>
      <c r="F27" s="71" t="s">
        <v>329</v>
      </c>
      <c r="G27" s="64">
        <v>9350</v>
      </c>
      <c r="H27" s="592">
        <f>G27*$E$22/100</f>
        <v>31042</v>
      </c>
      <c r="I27" s="444"/>
      <c r="J27" s="57">
        <f>2000/2.205</f>
        <v>907.02947845804988</v>
      </c>
      <c r="K27" s="57">
        <f>J27*$E$22/100</f>
        <v>3011.3378684807253</v>
      </c>
      <c r="N27" s="65"/>
      <c r="O27" s="62"/>
      <c r="P27" s="62"/>
      <c r="Q27" s="62"/>
      <c r="R27" s="62"/>
      <c r="S27" s="62"/>
      <c r="T27" s="62"/>
      <c r="U27" s="62"/>
      <c r="V27" s="62"/>
      <c r="W27" s="62"/>
      <c r="X27" s="62"/>
      <c r="Y27" s="62"/>
    </row>
    <row r="28" spans="2:25" x14ac:dyDescent="0.35">
      <c r="D28" s="71">
        <v>2</v>
      </c>
      <c r="E28" s="460" t="s">
        <v>326</v>
      </c>
      <c r="F28" s="544" t="s">
        <v>329</v>
      </c>
      <c r="G28" s="64">
        <v>408</v>
      </c>
      <c r="H28" s="592">
        <f>G28*$E$22/100</f>
        <v>1354.56</v>
      </c>
      <c r="I28" s="463"/>
      <c r="J28" s="57"/>
      <c r="K28" s="495">
        <f t="shared" ref="K28:K48" si="6">J28*$E$22/100</f>
        <v>0</v>
      </c>
      <c r="O28" s="62"/>
      <c r="P28" s="62"/>
      <c r="Q28" s="62"/>
      <c r="R28" s="62"/>
      <c r="S28" s="62"/>
      <c r="T28" s="62"/>
      <c r="U28" s="62"/>
      <c r="V28" s="62"/>
      <c r="W28" s="62"/>
      <c r="X28" s="62"/>
      <c r="Y28" s="62"/>
    </row>
    <row r="29" spans="2:25" x14ac:dyDescent="0.35">
      <c r="D29" s="71">
        <v>3</v>
      </c>
      <c r="E29" s="460" t="s">
        <v>311</v>
      </c>
      <c r="F29" s="544" t="s">
        <v>329</v>
      </c>
      <c r="G29" s="64">
        <v>116</v>
      </c>
      <c r="H29" s="592">
        <f>G29*$E$22/100</f>
        <v>385.12</v>
      </c>
      <c r="I29" s="463"/>
      <c r="J29" s="57"/>
      <c r="K29" s="495">
        <f t="shared" si="6"/>
        <v>0</v>
      </c>
      <c r="L29" s="725"/>
      <c r="O29" s="62"/>
      <c r="P29" s="62"/>
      <c r="Q29" s="62"/>
      <c r="R29" s="62"/>
      <c r="S29" s="62"/>
      <c r="T29" s="62"/>
      <c r="U29" s="62"/>
      <c r="V29" s="62"/>
      <c r="W29" s="62"/>
      <c r="X29" s="62"/>
      <c r="Y29" s="62"/>
    </row>
    <row r="30" spans="2:25" x14ac:dyDescent="0.35">
      <c r="D30" s="71">
        <v>4</v>
      </c>
      <c r="E30" s="460" t="s">
        <v>324</v>
      </c>
      <c r="F30" s="544" t="s">
        <v>62</v>
      </c>
      <c r="G30" s="64">
        <v>225</v>
      </c>
      <c r="H30" s="592">
        <f t="shared" ref="H30:H48" si="7">G30*$E$22/100</f>
        <v>747</v>
      </c>
      <c r="I30" s="463"/>
      <c r="J30" s="57"/>
      <c r="K30" s="495">
        <f t="shared" si="6"/>
        <v>0</v>
      </c>
      <c r="L30" s="725"/>
      <c r="O30" s="62"/>
      <c r="P30" s="62"/>
      <c r="Q30" s="62"/>
      <c r="R30" s="62"/>
      <c r="S30" s="62"/>
      <c r="T30" s="62"/>
      <c r="U30" s="62"/>
      <c r="V30" s="62"/>
      <c r="W30" s="62"/>
      <c r="X30" s="62"/>
      <c r="Y30" s="62"/>
    </row>
    <row r="31" spans="2:25" x14ac:dyDescent="0.35">
      <c r="D31" s="71">
        <v>5</v>
      </c>
      <c r="E31" s="460" t="s">
        <v>323</v>
      </c>
      <c r="F31" s="544" t="s">
        <v>329</v>
      </c>
      <c r="G31" s="64">
        <v>956</v>
      </c>
      <c r="H31" s="592">
        <f t="shared" si="7"/>
        <v>3173.92</v>
      </c>
      <c r="I31" s="463"/>
      <c r="J31" s="57"/>
      <c r="K31" s="495">
        <f t="shared" si="6"/>
        <v>0</v>
      </c>
      <c r="L31" s="725"/>
      <c r="O31" s="62"/>
      <c r="P31" s="62"/>
      <c r="Q31" s="62"/>
      <c r="R31" s="62"/>
      <c r="S31" s="62"/>
      <c r="T31" s="62"/>
      <c r="U31" s="62"/>
      <c r="V31" s="62"/>
      <c r="W31" s="62"/>
      <c r="X31" s="62"/>
      <c r="Y31" s="62"/>
    </row>
    <row r="32" spans="2:25" x14ac:dyDescent="0.35">
      <c r="D32" s="71">
        <v>6</v>
      </c>
      <c r="E32" s="460" t="s">
        <v>313</v>
      </c>
      <c r="F32" s="544" t="s">
        <v>329</v>
      </c>
      <c r="G32" s="64">
        <v>702</v>
      </c>
      <c r="H32" s="592">
        <f t="shared" si="7"/>
        <v>2330.64</v>
      </c>
      <c r="I32" s="463"/>
      <c r="J32" s="57"/>
      <c r="K32" s="495">
        <f t="shared" si="6"/>
        <v>0</v>
      </c>
      <c r="L32" s="725"/>
    </row>
    <row r="33" spans="4:12" x14ac:dyDescent="0.35">
      <c r="D33" s="71">
        <v>7</v>
      </c>
      <c r="E33" s="460" t="s">
        <v>314</v>
      </c>
      <c r="F33" s="544" t="s">
        <v>328</v>
      </c>
      <c r="G33" s="64">
        <v>19800</v>
      </c>
      <c r="H33" s="592">
        <f t="shared" si="7"/>
        <v>65736</v>
      </c>
      <c r="I33" s="463"/>
      <c r="J33" s="57">
        <v>452</v>
      </c>
      <c r="K33" s="495">
        <f t="shared" si="6"/>
        <v>1500.64</v>
      </c>
    </row>
    <row r="34" spans="4:12" x14ac:dyDescent="0.35">
      <c r="D34" s="71">
        <v>8</v>
      </c>
      <c r="E34" s="460" t="s">
        <v>315</v>
      </c>
      <c r="F34" s="544" t="s">
        <v>329</v>
      </c>
      <c r="G34" s="64">
        <v>898</v>
      </c>
      <c r="H34" s="592">
        <f t="shared" si="7"/>
        <v>2981.36</v>
      </c>
      <c r="I34" s="463"/>
      <c r="J34" s="57">
        <v>50</v>
      </c>
      <c r="K34" s="495">
        <f t="shared" si="6"/>
        <v>166</v>
      </c>
    </row>
    <row r="35" spans="4:12" x14ac:dyDescent="0.35">
      <c r="D35" s="71">
        <v>9</v>
      </c>
      <c r="E35" s="460" t="s">
        <v>316</v>
      </c>
      <c r="F35" s="544" t="s">
        <v>329</v>
      </c>
      <c r="G35" s="64">
        <v>2568</v>
      </c>
      <c r="H35" s="592">
        <f t="shared" si="7"/>
        <v>8525.76</v>
      </c>
      <c r="I35" s="463"/>
      <c r="J35" s="57">
        <v>90</v>
      </c>
      <c r="K35" s="495">
        <f t="shared" si="6"/>
        <v>298.8</v>
      </c>
    </row>
    <row r="36" spans="4:12" x14ac:dyDescent="0.35">
      <c r="D36" s="71">
        <v>10</v>
      </c>
      <c r="E36" s="460" t="s">
        <v>317</v>
      </c>
      <c r="F36" s="544" t="s">
        <v>329</v>
      </c>
      <c r="G36" s="64">
        <v>8261</v>
      </c>
      <c r="H36" s="592">
        <f t="shared" si="7"/>
        <v>27426.52</v>
      </c>
      <c r="I36" s="463"/>
      <c r="J36" s="57">
        <v>73</v>
      </c>
      <c r="K36" s="495">
        <f t="shared" si="6"/>
        <v>242.36</v>
      </c>
    </row>
    <row r="37" spans="4:12" x14ac:dyDescent="0.35">
      <c r="D37" s="71">
        <v>11</v>
      </c>
      <c r="E37" s="460" t="s">
        <v>318</v>
      </c>
      <c r="F37" s="544" t="s">
        <v>329</v>
      </c>
      <c r="G37" s="64">
        <v>7000</v>
      </c>
      <c r="H37" s="592">
        <f t="shared" si="7"/>
        <v>23240</v>
      </c>
      <c r="I37" s="463"/>
      <c r="J37" s="114">
        <v>454</v>
      </c>
      <c r="K37" s="495">
        <f t="shared" si="6"/>
        <v>1507.28</v>
      </c>
    </row>
    <row r="38" spans="4:12" x14ac:dyDescent="0.35">
      <c r="D38" s="71">
        <v>12</v>
      </c>
      <c r="E38" s="460" t="s">
        <v>319</v>
      </c>
      <c r="F38" s="544" t="s">
        <v>329</v>
      </c>
      <c r="G38" s="64">
        <v>4000</v>
      </c>
      <c r="H38" s="592">
        <f t="shared" si="7"/>
        <v>13280</v>
      </c>
      <c r="I38" s="463"/>
      <c r="J38" s="114"/>
      <c r="K38" s="495">
        <f t="shared" si="6"/>
        <v>0</v>
      </c>
      <c r="L38" s="725"/>
    </row>
    <row r="39" spans="4:12" x14ac:dyDescent="0.35">
      <c r="D39" s="71">
        <v>13</v>
      </c>
      <c r="E39" s="460" t="s">
        <v>320</v>
      </c>
      <c r="F39" s="544" t="s">
        <v>329</v>
      </c>
      <c r="G39" s="64">
        <v>6000</v>
      </c>
      <c r="H39" s="592">
        <f t="shared" si="7"/>
        <v>19920</v>
      </c>
      <c r="I39" s="463"/>
      <c r="J39" s="57">
        <v>1207.5999999999999</v>
      </c>
      <c r="K39" s="495">
        <f t="shared" si="6"/>
        <v>4009.2319999999995</v>
      </c>
    </row>
    <row r="40" spans="4:12" x14ac:dyDescent="0.35">
      <c r="D40" s="61">
        <v>14</v>
      </c>
      <c r="E40" s="78" t="s">
        <v>321</v>
      </c>
      <c r="F40" s="544" t="s">
        <v>17</v>
      </c>
      <c r="G40" s="463">
        <v>5000</v>
      </c>
      <c r="H40" s="592">
        <f t="shared" si="7"/>
        <v>16600</v>
      </c>
      <c r="I40" s="463"/>
      <c r="J40" s="35"/>
      <c r="K40" s="495">
        <f t="shared" si="6"/>
        <v>0</v>
      </c>
      <c r="L40" s="725"/>
    </row>
    <row r="41" spans="4:12" x14ac:dyDescent="0.35">
      <c r="D41" s="61">
        <v>15</v>
      </c>
      <c r="E41" s="78" t="s">
        <v>322</v>
      </c>
      <c r="F41" s="544" t="s">
        <v>134</v>
      </c>
      <c r="G41" s="4">
        <v>10000</v>
      </c>
      <c r="H41" s="592">
        <f t="shared" si="7"/>
        <v>33200</v>
      </c>
      <c r="I41" s="463"/>
      <c r="J41" s="35"/>
      <c r="K41" s="495">
        <f t="shared" si="6"/>
        <v>0</v>
      </c>
      <c r="L41" s="725"/>
    </row>
    <row r="42" spans="4:12" x14ac:dyDescent="0.35">
      <c r="D42" s="61">
        <v>16</v>
      </c>
      <c r="E42" s="78" t="s">
        <v>34</v>
      </c>
      <c r="F42" s="544" t="s">
        <v>34</v>
      </c>
      <c r="G42" s="4">
        <v>9000</v>
      </c>
      <c r="H42" s="592">
        <f t="shared" si="7"/>
        <v>29880</v>
      </c>
      <c r="I42" s="463"/>
      <c r="J42" s="35">
        <v>725</v>
      </c>
      <c r="K42" s="495">
        <f t="shared" si="6"/>
        <v>2407</v>
      </c>
      <c r="L42" s="61"/>
    </row>
    <row r="43" spans="4:12" x14ac:dyDescent="0.35">
      <c r="D43" s="61">
        <v>17</v>
      </c>
      <c r="E43" s="78" t="s">
        <v>39</v>
      </c>
      <c r="F43" s="544" t="s">
        <v>39</v>
      </c>
      <c r="G43" s="4">
        <v>30000</v>
      </c>
      <c r="H43" s="592">
        <f t="shared" si="7"/>
        <v>99600</v>
      </c>
      <c r="I43" s="463"/>
      <c r="J43" s="35">
        <v>399</v>
      </c>
      <c r="K43" s="495">
        <f t="shared" si="6"/>
        <v>1324.68</v>
      </c>
      <c r="L43" s="61"/>
    </row>
    <row r="44" spans="4:12" s="484" customFormat="1" x14ac:dyDescent="0.35">
      <c r="D44" s="494">
        <v>18</v>
      </c>
      <c r="E44" s="78" t="s">
        <v>325</v>
      </c>
      <c r="F44" s="544" t="s">
        <v>65</v>
      </c>
      <c r="G44" s="419">
        <v>20280</v>
      </c>
      <c r="H44" s="592">
        <f t="shared" si="7"/>
        <v>67329.600000000006</v>
      </c>
      <c r="I44" s="463"/>
      <c r="J44" s="68"/>
      <c r="K44" s="495">
        <f t="shared" si="6"/>
        <v>0</v>
      </c>
      <c r="L44" s="725"/>
    </row>
    <row r="45" spans="4:12" s="544" customFormat="1" x14ac:dyDescent="0.35">
      <c r="D45" s="546">
        <v>19</v>
      </c>
      <c r="E45" s="78" t="s">
        <v>41</v>
      </c>
      <c r="F45" s="544" t="s">
        <v>41</v>
      </c>
      <c r="G45" s="419">
        <v>20000</v>
      </c>
      <c r="H45" s="592">
        <f t="shared" si="7"/>
        <v>66400</v>
      </c>
      <c r="I45" s="463"/>
      <c r="J45" s="68">
        <v>760</v>
      </c>
      <c r="K45" s="495">
        <f t="shared" si="6"/>
        <v>2523.1999999999998</v>
      </c>
    </row>
    <row r="46" spans="4:12" s="544" customFormat="1" x14ac:dyDescent="0.35">
      <c r="D46" s="546">
        <v>20</v>
      </c>
      <c r="E46" s="78" t="s">
        <v>331</v>
      </c>
      <c r="F46" s="544" t="s">
        <v>64</v>
      </c>
      <c r="G46" s="419">
        <f>20%*SUM(G27:G45)</f>
        <v>30912.800000000003</v>
      </c>
      <c r="H46" s="592">
        <f>G46</f>
        <v>30912.800000000003</v>
      </c>
      <c r="I46" s="463"/>
      <c r="J46" s="68"/>
      <c r="K46" s="495">
        <f t="shared" si="6"/>
        <v>0</v>
      </c>
      <c r="L46" s="725"/>
    </row>
    <row r="47" spans="4:12" s="544" customFormat="1" x14ac:dyDescent="0.35">
      <c r="D47" s="546">
        <v>21</v>
      </c>
      <c r="E47" s="78" t="s">
        <v>43</v>
      </c>
      <c r="F47" s="544" t="s">
        <v>43</v>
      </c>
      <c r="G47" s="419">
        <f>80000*1.1</f>
        <v>88000</v>
      </c>
      <c r="H47" s="592">
        <f>G47</f>
        <v>88000</v>
      </c>
      <c r="I47" s="463"/>
      <c r="J47" s="68"/>
      <c r="K47" s="495">
        <f t="shared" si="6"/>
        <v>0</v>
      </c>
      <c r="L47" s="725"/>
    </row>
    <row r="48" spans="4:12" s="544" customFormat="1" x14ac:dyDescent="0.35">
      <c r="D48" s="546">
        <v>22</v>
      </c>
      <c r="E48" s="78" t="s">
        <v>473</v>
      </c>
      <c r="F48" s="544" t="s">
        <v>62</v>
      </c>
      <c r="G48" s="419">
        <v>5000</v>
      </c>
      <c r="H48" s="592">
        <f t="shared" si="7"/>
        <v>16600</v>
      </c>
      <c r="I48" s="463"/>
      <c r="J48" s="68"/>
      <c r="K48" s="495">
        <f t="shared" si="6"/>
        <v>0</v>
      </c>
      <c r="L48" s="725"/>
    </row>
    <row r="49" spans="2:15" s="544" customFormat="1" x14ac:dyDescent="0.35">
      <c r="D49" s="546"/>
      <c r="E49" s="78"/>
      <c r="G49" s="419"/>
      <c r="H49" s="592"/>
      <c r="I49" s="463"/>
      <c r="J49" s="68"/>
      <c r="K49" s="495"/>
    </row>
    <row r="50" spans="2:15" s="544" customFormat="1" x14ac:dyDescent="0.35">
      <c r="D50" s="79" t="s">
        <v>84</v>
      </c>
      <c r="E50" s="111"/>
      <c r="F50" s="329"/>
      <c r="G50" s="593">
        <f>SUM(G27:G45)</f>
        <v>154564</v>
      </c>
      <c r="H50" s="593">
        <f>SUM(H27:H45)</f>
        <v>513152.48</v>
      </c>
      <c r="I50" s="463"/>
      <c r="J50" s="68"/>
      <c r="K50" s="495"/>
    </row>
    <row r="51" spans="2:15" x14ac:dyDescent="0.35">
      <c r="F51" s="41"/>
      <c r="G51" s="43"/>
      <c r="K51" s="495"/>
    </row>
    <row r="52" spans="2:15" x14ac:dyDescent="0.35">
      <c r="B52" s="59" t="s">
        <v>327</v>
      </c>
      <c r="C52" s="59"/>
      <c r="G52" s="463"/>
      <c r="K52" s="495"/>
    </row>
    <row r="53" spans="2:15" x14ac:dyDescent="0.35">
      <c r="F53" s="41"/>
      <c r="G53" s="43"/>
      <c r="K53" s="495"/>
    </row>
    <row r="54" spans="2:15" x14ac:dyDescent="0.35">
      <c r="E54" s="59" t="s">
        <v>83</v>
      </c>
      <c r="F54" s="59" t="s">
        <v>112</v>
      </c>
      <c r="G54" s="59" t="s">
        <v>330</v>
      </c>
      <c r="H54" s="59" t="s">
        <v>1410</v>
      </c>
      <c r="I54" s="59"/>
      <c r="J54" s="687" t="s">
        <v>485</v>
      </c>
      <c r="K54" s="687" t="s">
        <v>1414</v>
      </c>
      <c r="L54" s="338"/>
      <c r="M54" s="344"/>
      <c r="N54" s="343"/>
    </row>
    <row r="55" spans="2:15" x14ac:dyDescent="0.35">
      <c r="D55" s="71">
        <v>1</v>
      </c>
      <c r="E55" s="460" t="s">
        <v>310</v>
      </c>
      <c r="F55" s="71" t="s">
        <v>329</v>
      </c>
      <c r="G55" s="455">
        <v>8500</v>
      </c>
      <c r="H55" s="591">
        <f>G55*$E$22/100</f>
        <v>28220</v>
      </c>
      <c r="I55" s="64"/>
      <c r="J55" s="495">
        <f>2000/2.205</f>
        <v>907.02947845804988</v>
      </c>
      <c r="K55" s="495">
        <f>J55*$E$22/100</f>
        <v>3011.3378684807253</v>
      </c>
      <c r="L55" s="345"/>
      <c r="N55" s="342"/>
      <c r="O55" s="342"/>
    </row>
    <row r="56" spans="2:15" x14ac:dyDescent="0.35">
      <c r="D56" s="71">
        <v>2</v>
      </c>
      <c r="E56" s="460" t="s">
        <v>326</v>
      </c>
      <c r="F56" s="71" t="s">
        <v>329</v>
      </c>
      <c r="G56" s="455">
        <v>328</v>
      </c>
      <c r="H56" s="591">
        <f t="shared" ref="H56:H76" si="8">G56*$E$22/100</f>
        <v>1088.96</v>
      </c>
      <c r="I56" s="64"/>
      <c r="J56" s="495"/>
      <c r="K56" s="495">
        <f t="shared" ref="K56:K76" si="9">J56*$E$22/100</f>
        <v>0</v>
      </c>
      <c r="L56" s="345"/>
      <c r="N56" s="342"/>
      <c r="O56" s="342"/>
    </row>
    <row r="57" spans="2:15" x14ac:dyDescent="0.35">
      <c r="D57" s="71">
        <v>3</v>
      </c>
      <c r="E57" s="460" t="s">
        <v>311</v>
      </c>
      <c r="F57" s="71" t="s">
        <v>329</v>
      </c>
      <c r="G57" s="455">
        <v>97</v>
      </c>
      <c r="H57" s="591">
        <f t="shared" si="8"/>
        <v>322.04000000000002</v>
      </c>
      <c r="I57" s="64"/>
      <c r="J57" s="495"/>
      <c r="K57" s="495">
        <f t="shared" si="9"/>
        <v>0</v>
      </c>
      <c r="L57" s="345"/>
      <c r="N57" s="342"/>
      <c r="O57" s="342"/>
    </row>
    <row r="58" spans="2:15" x14ac:dyDescent="0.35">
      <c r="D58" s="71">
        <v>4</v>
      </c>
      <c r="E58" s="460" t="s">
        <v>324</v>
      </c>
      <c r="F58" s="71" t="s">
        <v>329</v>
      </c>
      <c r="G58" s="455">
        <v>168</v>
      </c>
      <c r="H58" s="591">
        <f t="shared" si="8"/>
        <v>557.76</v>
      </c>
      <c r="I58" s="64"/>
      <c r="J58" s="495"/>
      <c r="K58" s="495">
        <f t="shared" si="9"/>
        <v>0</v>
      </c>
      <c r="L58" s="345"/>
      <c r="N58" s="342"/>
      <c r="O58" s="342"/>
    </row>
    <row r="59" spans="2:15" x14ac:dyDescent="0.35">
      <c r="D59" s="71">
        <v>5</v>
      </c>
      <c r="E59" s="460" t="s">
        <v>323</v>
      </c>
      <c r="F59" s="71" t="s">
        <v>329</v>
      </c>
      <c r="G59" s="455">
        <v>758</v>
      </c>
      <c r="H59" s="591">
        <f t="shared" si="8"/>
        <v>2516.56</v>
      </c>
      <c r="I59" s="64"/>
      <c r="J59" s="495"/>
      <c r="K59" s="495">
        <f t="shared" si="9"/>
        <v>0</v>
      </c>
      <c r="L59" s="345"/>
      <c r="N59" s="342"/>
      <c r="O59" s="342"/>
    </row>
    <row r="60" spans="2:15" ht="15" customHeight="1" x14ac:dyDescent="0.35">
      <c r="D60" s="76">
        <v>6</v>
      </c>
      <c r="E60" s="460" t="s">
        <v>313</v>
      </c>
      <c r="F60" s="76" t="s">
        <v>329</v>
      </c>
      <c r="G60" s="455">
        <v>662</v>
      </c>
      <c r="H60" s="591">
        <f t="shared" si="8"/>
        <v>2197.84</v>
      </c>
      <c r="I60" s="64"/>
      <c r="J60" s="495"/>
      <c r="K60" s="495">
        <f t="shared" si="9"/>
        <v>0</v>
      </c>
      <c r="L60" s="345"/>
      <c r="N60" s="342"/>
      <c r="O60" s="342"/>
    </row>
    <row r="61" spans="2:15" ht="15" customHeight="1" x14ac:dyDescent="0.35">
      <c r="D61" s="71">
        <v>7</v>
      </c>
      <c r="E61" s="460" t="s">
        <v>314</v>
      </c>
      <c r="F61" s="71" t="s">
        <v>328</v>
      </c>
      <c r="G61" s="455">
        <v>8200</v>
      </c>
      <c r="H61" s="591">
        <f t="shared" si="8"/>
        <v>27224</v>
      </c>
      <c r="I61" s="64"/>
      <c r="J61" s="495">
        <v>452</v>
      </c>
      <c r="K61" s="495">
        <f t="shared" si="9"/>
        <v>1500.64</v>
      </c>
      <c r="L61" s="345"/>
      <c r="N61" s="342"/>
      <c r="O61" s="342"/>
    </row>
    <row r="62" spans="2:15" ht="15" customHeight="1" x14ac:dyDescent="0.35">
      <c r="D62" s="76">
        <v>8</v>
      </c>
      <c r="E62" s="460" t="s">
        <v>315</v>
      </c>
      <c r="F62" s="76" t="s">
        <v>329</v>
      </c>
      <c r="G62" s="455">
        <v>846</v>
      </c>
      <c r="H62" s="591">
        <f t="shared" si="8"/>
        <v>2808.72</v>
      </c>
      <c r="I62" s="64"/>
      <c r="J62" s="495">
        <v>50</v>
      </c>
      <c r="K62" s="495">
        <f t="shared" si="9"/>
        <v>166</v>
      </c>
      <c r="L62" s="345"/>
      <c r="N62" s="342"/>
      <c r="O62" s="342"/>
    </row>
    <row r="63" spans="2:15" x14ac:dyDescent="0.35">
      <c r="D63" s="71">
        <v>9</v>
      </c>
      <c r="E63" s="460" t="s">
        <v>316</v>
      </c>
      <c r="F63" s="71" t="s">
        <v>329</v>
      </c>
      <c r="G63" s="455">
        <v>2417</v>
      </c>
      <c r="H63" s="591">
        <f t="shared" si="8"/>
        <v>8024.44</v>
      </c>
      <c r="I63" s="64"/>
      <c r="J63" s="495">
        <v>90</v>
      </c>
      <c r="K63" s="495">
        <f t="shared" si="9"/>
        <v>298.8</v>
      </c>
      <c r="L63" s="345"/>
      <c r="N63" s="342"/>
      <c r="O63" s="342"/>
    </row>
    <row r="64" spans="2:15" x14ac:dyDescent="0.35">
      <c r="D64" s="71">
        <v>10</v>
      </c>
      <c r="E64" s="460" t="s">
        <v>317</v>
      </c>
      <c r="F64" s="71" t="s">
        <v>329</v>
      </c>
      <c r="G64" s="455">
        <v>6255</v>
      </c>
      <c r="H64" s="591">
        <f t="shared" si="8"/>
        <v>20766.599999999999</v>
      </c>
      <c r="I64" s="64"/>
      <c r="J64" s="495">
        <v>73</v>
      </c>
      <c r="K64" s="495">
        <f t="shared" si="9"/>
        <v>242.36</v>
      </c>
      <c r="L64" s="345"/>
      <c r="N64" s="342"/>
      <c r="O64" s="342"/>
    </row>
    <row r="65" spans="1:15" x14ac:dyDescent="0.35">
      <c r="D65" s="71">
        <v>11</v>
      </c>
      <c r="E65" s="460" t="s">
        <v>318</v>
      </c>
      <c r="F65" s="71" t="s">
        <v>329</v>
      </c>
      <c r="G65" s="455">
        <v>6500</v>
      </c>
      <c r="H65" s="591">
        <f t="shared" si="8"/>
        <v>21580</v>
      </c>
      <c r="I65" s="64"/>
      <c r="J65" s="114">
        <v>454</v>
      </c>
      <c r="K65" s="495">
        <f t="shared" si="9"/>
        <v>1507.28</v>
      </c>
      <c r="L65" s="345"/>
      <c r="N65" s="342"/>
      <c r="O65" s="342"/>
    </row>
    <row r="66" spans="1:15" x14ac:dyDescent="0.35">
      <c r="D66" s="71">
        <v>12</v>
      </c>
      <c r="E66" s="460" t="s">
        <v>319</v>
      </c>
      <c r="F66" s="71" t="s">
        <v>329</v>
      </c>
      <c r="G66" s="455">
        <v>2200</v>
      </c>
      <c r="H66" s="591">
        <f t="shared" si="8"/>
        <v>7304</v>
      </c>
      <c r="I66" s="64"/>
      <c r="J66" s="114"/>
      <c r="K66" s="495">
        <f t="shared" si="9"/>
        <v>0</v>
      </c>
      <c r="L66" s="345"/>
      <c r="N66" s="342"/>
      <c r="O66" s="342"/>
    </row>
    <row r="67" spans="1:15" ht="16.5" customHeight="1" x14ac:dyDescent="0.35">
      <c r="D67" s="71">
        <v>13</v>
      </c>
      <c r="E67" s="460" t="s">
        <v>320</v>
      </c>
      <c r="F67" s="61" t="s">
        <v>329</v>
      </c>
      <c r="G67" s="455">
        <v>4750</v>
      </c>
      <c r="H67" s="591">
        <f t="shared" si="8"/>
        <v>15770</v>
      </c>
      <c r="I67" s="64"/>
      <c r="J67" s="495">
        <v>1207.5999999999999</v>
      </c>
      <c r="K67" s="495">
        <f t="shared" si="9"/>
        <v>4009.2319999999995</v>
      </c>
      <c r="L67" s="345"/>
      <c r="N67" s="342"/>
      <c r="O67" s="342"/>
    </row>
    <row r="68" spans="1:15" ht="18" customHeight="1" x14ac:dyDescent="0.35">
      <c r="D68" s="71">
        <v>14</v>
      </c>
      <c r="E68" s="78" t="s">
        <v>321</v>
      </c>
      <c r="F68" s="61" t="s">
        <v>17</v>
      </c>
      <c r="G68" s="455">
        <v>1000</v>
      </c>
      <c r="H68" s="591">
        <f t="shared" si="8"/>
        <v>3320</v>
      </c>
      <c r="I68" s="64"/>
      <c r="J68" s="35"/>
      <c r="K68" s="495">
        <f t="shared" si="9"/>
        <v>0</v>
      </c>
      <c r="L68" s="345"/>
      <c r="N68" s="342"/>
      <c r="O68" s="342"/>
    </row>
    <row r="69" spans="1:15" x14ac:dyDescent="0.35">
      <c r="D69" s="71">
        <v>15</v>
      </c>
      <c r="E69" s="78" t="s">
        <v>322</v>
      </c>
      <c r="F69" s="71" t="s">
        <v>134</v>
      </c>
      <c r="G69" s="455">
        <v>2000</v>
      </c>
      <c r="H69" s="591">
        <f t="shared" si="8"/>
        <v>6640</v>
      </c>
      <c r="I69" s="64"/>
      <c r="J69" s="35"/>
      <c r="K69" s="495">
        <f t="shared" si="9"/>
        <v>0</v>
      </c>
      <c r="L69" s="345"/>
      <c r="N69" s="342"/>
      <c r="O69" s="342"/>
    </row>
    <row r="70" spans="1:15" x14ac:dyDescent="0.35">
      <c r="D70" s="71">
        <v>16</v>
      </c>
      <c r="E70" s="78" t="s">
        <v>34</v>
      </c>
      <c r="F70" s="71" t="s">
        <v>34</v>
      </c>
      <c r="G70" s="455">
        <v>7006</v>
      </c>
      <c r="H70" s="591">
        <f t="shared" si="8"/>
        <v>23259.919999999998</v>
      </c>
      <c r="I70" s="64"/>
      <c r="J70" s="35">
        <v>725</v>
      </c>
      <c r="K70" s="495">
        <f t="shared" si="9"/>
        <v>2407</v>
      </c>
      <c r="L70" s="345"/>
      <c r="N70" s="342"/>
      <c r="O70" s="342"/>
    </row>
    <row r="71" spans="1:15" s="544" customFormat="1" x14ac:dyDescent="0.35">
      <c r="D71" s="544">
        <v>17</v>
      </c>
      <c r="E71" s="78" t="s">
        <v>39</v>
      </c>
      <c r="F71" s="544" t="s">
        <v>39</v>
      </c>
      <c r="G71" s="455">
        <f>G42*75%</f>
        <v>6750</v>
      </c>
      <c r="H71" s="591">
        <f t="shared" si="8"/>
        <v>22410</v>
      </c>
      <c r="I71" s="463"/>
      <c r="J71" s="35">
        <v>399</v>
      </c>
      <c r="K71" s="495">
        <f t="shared" si="9"/>
        <v>1324.68</v>
      </c>
      <c r="L71" s="463"/>
    </row>
    <row r="72" spans="1:15" s="544" customFormat="1" x14ac:dyDescent="0.35">
      <c r="D72" s="544">
        <v>18</v>
      </c>
      <c r="E72" s="78" t="s">
        <v>325</v>
      </c>
      <c r="F72" s="544" t="s">
        <v>65</v>
      </c>
      <c r="G72" s="455">
        <f t="shared" ref="G72:G74" si="10">G44*75%</f>
        <v>15210</v>
      </c>
      <c r="H72" s="591">
        <f>G72</f>
        <v>15210</v>
      </c>
      <c r="I72" s="463"/>
      <c r="J72" s="68"/>
      <c r="K72" s="495">
        <f t="shared" si="9"/>
        <v>0</v>
      </c>
      <c r="L72" s="463"/>
    </row>
    <row r="73" spans="1:15" s="544" customFormat="1" x14ac:dyDescent="0.35">
      <c r="D73" s="546">
        <v>19</v>
      </c>
      <c r="E73" s="78" t="s">
        <v>41</v>
      </c>
      <c r="F73" s="544" t="s">
        <v>41</v>
      </c>
      <c r="G73" s="455">
        <f t="shared" si="10"/>
        <v>15000</v>
      </c>
      <c r="H73" s="591">
        <f t="shared" si="8"/>
        <v>49800</v>
      </c>
      <c r="I73" s="463"/>
      <c r="J73" s="68">
        <v>760</v>
      </c>
      <c r="K73" s="495">
        <f t="shared" si="9"/>
        <v>2523.1999999999998</v>
      </c>
      <c r="L73" s="463"/>
    </row>
    <row r="74" spans="1:15" s="544" customFormat="1" x14ac:dyDescent="0.35">
      <c r="D74" s="546">
        <v>20</v>
      </c>
      <c r="E74" s="78" t="s">
        <v>331</v>
      </c>
      <c r="F74" s="544" t="s">
        <v>64</v>
      </c>
      <c r="G74" s="455">
        <f t="shared" si="10"/>
        <v>23184.600000000002</v>
      </c>
      <c r="H74" s="591">
        <f>G74</f>
        <v>23184.600000000002</v>
      </c>
      <c r="I74" s="463"/>
      <c r="J74" s="68"/>
      <c r="K74" s="495">
        <f t="shared" si="9"/>
        <v>0</v>
      </c>
      <c r="L74" s="463"/>
    </row>
    <row r="75" spans="1:15" s="544" customFormat="1" x14ac:dyDescent="0.35">
      <c r="D75" s="546">
        <v>21</v>
      </c>
      <c r="E75" s="78" t="s">
        <v>43</v>
      </c>
      <c r="F75" s="544" t="s">
        <v>43</v>
      </c>
      <c r="G75" s="455">
        <f>G47</f>
        <v>88000</v>
      </c>
      <c r="H75" s="591">
        <f>G75</f>
        <v>88000</v>
      </c>
      <c r="I75" s="463"/>
      <c r="J75" s="68"/>
      <c r="K75" s="495">
        <f t="shared" si="9"/>
        <v>0</v>
      </c>
      <c r="L75" s="463"/>
    </row>
    <row r="76" spans="1:15" s="544" customFormat="1" x14ac:dyDescent="0.35">
      <c r="D76" s="546">
        <v>22</v>
      </c>
      <c r="E76" s="78" t="s">
        <v>473</v>
      </c>
      <c r="F76" s="544" t="s">
        <v>62</v>
      </c>
      <c r="G76" s="455">
        <v>5000</v>
      </c>
      <c r="H76" s="591">
        <f t="shared" si="8"/>
        <v>16600</v>
      </c>
      <c r="I76" s="463"/>
      <c r="J76" s="68"/>
      <c r="K76" s="495">
        <f t="shared" si="9"/>
        <v>0</v>
      </c>
      <c r="L76" s="463"/>
    </row>
    <row r="77" spans="1:15" x14ac:dyDescent="0.35">
      <c r="G77" s="64"/>
      <c r="H77" s="69"/>
      <c r="I77" s="4"/>
      <c r="J77" s="68"/>
      <c r="K77" s="339"/>
      <c r="L77" s="339"/>
    </row>
    <row r="78" spans="1:15" s="351" customFormat="1" x14ac:dyDescent="0.35">
      <c r="D78" s="329" t="s">
        <v>84</v>
      </c>
      <c r="E78" s="329"/>
      <c r="F78" s="329"/>
      <c r="G78" s="106">
        <f>SUM(G55:G76)</f>
        <v>204831.6</v>
      </c>
      <c r="H78" s="106">
        <f>SUM(H55:H76)</f>
        <v>386805.44</v>
      </c>
      <c r="I78" s="352"/>
      <c r="J78" s="68"/>
      <c r="K78" s="352"/>
      <c r="L78" s="352"/>
    </row>
    <row r="79" spans="1:15" s="544" customFormat="1" x14ac:dyDescent="0.35">
      <c r="G79" s="463"/>
      <c r="H79" s="487"/>
      <c r="I79" s="419"/>
      <c r="J79" s="68"/>
      <c r="K79" s="419"/>
      <c r="L79" s="419"/>
    </row>
    <row r="80" spans="1:15" s="293" customFormat="1" x14ac:dyDescent="0.35">
      <c r="A80" s="211" t="s">
        <v>244</v>
      </c>
      <c r="E80" s="64"/>
      <c r="F80" s="69"/>
      <c r="G80" s="201"/>
      <c r="H80" s="68"/>
      <c r="I80" s="23"/>
    </row>
    <row r="81" spans="1:9" s="346" customFormat="1" x14ac:dyDescent="0.35">
      <c r="A81" s="349"/>
      <c r="B81" s="723" t="s">
        <v>1411</v>
      </c>
      <c r="E81" s="348"/>
      <c r="F81" s="69"/>
      <c r="G81" s="347"/>
      <c r="H81" s="68"/>
      <c r="I81" s="350"/>
    </row>
    <row r="82" spans="1:9" s="346" customFormat="1" x14ac:dyDescent="0.35">
      <c r="A82" s="349"/>
      <c r="B82" s="719"/>
      <c r="E82" s="348"/>
      <c r="F82" s="69"/>
      <c r="G82" s="347"/>
      <c r="H82" s="68"/>
      <c r="I82" s="350"/>
    </row>
    <row r="83" spans="1:9" s="346" customFormat="1" x14ac:dyDescent="0.35">
      <c r="B83" s="351"/>
      <c r="E83" s="348"/>
      <c r="F83" s="69"/>
      <c r="G83" s="347"/>
      <c r="H83" s="68"/>
      <c r="I83" s="350"/>
    </row>
    <row r="84" spans="1:9" s="346" customFormat="1" x14ac:dyDescent="0.35">
      <c r="A84" s="349" t="s">
        <v>490</v>
      </c>
      <c r="B84" s="351"/>
      <c r="E84" s="348"/>
      <c r="F84" s="69"/>
      <c r="G84" s="347"/>
      <c r="H84" s="68"/>
      <c r="I84" s="350"/>
    </row>
    <row r="85" spans="1:9" s="718" customFormat="1" x14ac:dyDescent="0.35">
      <c r="A85" s="687"/>
      <c r="B85" s="718">
        <v>1</v>
      </c>
      <c r="D85" s="718" t="s">
        <v>475</v>
      </c>
      <c r="E85" s="463"/>
      <c r="F85" s="487"/>
      <c r="G85" s="419"/>
      <c r="H85" s="68"/>
      <c r="I85" s="355"/>
    </row>
    <row r="86" spans="1:9" s="718" customFormat="1" x14ac:dyDescent="0.35">
      <c r="A86" s="687"/>
      <c r="B86" s="718">
        <v>2</v>
      </c>
      <c r="D86" s="718" t="s">
        <v>487</v>
      </c>
      <c r="E86" s="463"/>
      <c r="F86" s="487"/>
      <c r="G86" s="419"/>
      <c r="H86" s="68"/>
      <c r="I86" s="355"/>
    </row>
    <row r="87" spans="1:9" s="718" customFormat="1" x14ac:dyDescent="0.35">
      <c r="A87" s="687"/>
      <c r="B87" s="718">
        <v>3</v>
      </c>
      <c r="D87" s="718" t="s">
        <v>487</v>
      </c>
      <c r="E87" s="463"/>
      <c r="F87" s="487"/>
      <c r="G87" s="419"/>
      <c r="H87" s="68"/>
      <c r="I87" s="355"/>
    </row>
    <row r="88" spans="1:9" s="718" customFormat="1" x14ac:dyDescent="0.35">
      <c r="A88" s="687"/>
      <c r="B88" s="718">
        <v>4</v>
      </c>
      <c r="D88" s="718" t="s">
        <v>487</v>
      </c>
      <c r="E88" s="463"/>
      <c r="F88" s="487"/>
      <c r="G88" s="419"/>
      <c r="H88" s="68"/>
      <c r="I88" s="355"/>
    </row>
    <row r="89" spans="1:9" s="718" customFormat="1" x14ac:dyDescent="0.35">
      <c r="A89" s="687"/>
      <c r="B89" s="718">
        <v>5</v>
      </c>
      <c r="D89" s="718" t="s">
        <v>487</v>
      </c>
      <c r="E89" s="463"/>
      <c r="F89" s="487"/>
      <c r="G89" s="419"/>
      <c r="H89" s="68"/>
      <c r="I89" s="355"/>
    </row>
    <row r="90" spans="1:9" s="718" customFormat="1" x14ac:dyDescent="0.35">
      <c r="A90" s="687"/>
      <c r="B90" s="718">
        <v>6</v>
      </c>
      <c r="D90" s="718" t="s">
        <v>487</v>
      </c>
      <c r="E90" s="463"/>
      <c r="F90" s="487"/>
      <c r="G90" s="419"/>
      <c r="H90" s="68"/>
      <c r="I90" s="355"/>
    </row>
    <row r="91" spans="1:9" s="718" customFormat="1" x14ac:dyDescent="0.35">
      <c r="A91" s="687"/>
      <c r="B91" s="718">
        <v>7</v>
      </c>
      <c r="D91" s="718" t="s">
        <v>487</v>
      </c>
      <c r="E91" s="463"/>
      <c r="F91" s="487"/>
      <c r="G91" s="419"/>
      <c r="H91" s="68"/>
      <c r="I91" s="355"/>
    </row>
    <row r="92" spans="1:9" s="718" customFormat="1" x14ac:dyDescent="0.35">
      <c r="A92" s="687"/>
      <c r="B92" s="718">
        <v>8</v>
      </c>
      <c r="D92" s="718" t="s">
        <v>487</v>
      </c>
      <c r="E92" s="463"/>
      <c r="F92" s="487"/>
      <c r="G92" s="419"/>
      <c r="H92" s="68"/>
      <c r="I92" s="355"/>
    </row>
    <row r="93" spans="1:9" s="718" customFormat="1" x14ac:dyDescent="0.35">
      <c r="A93" s="687"/>
      <c r="B93" s="718">
        <v>9</v>
      </c>
      <c r="D93" s="718" t="s">
        <v>487</v>
      </c>
      <c r="E93" s="463"/>
      <c r="F93" s="487"/>
      <c r="G93" s="419"/>
      <c r="H93" s="68"/>
      <c r="I93" s="355"/>
    </row>
    <row r="94" spans="1:9" s="718" customFormat="1" x14ac:dyDescent="0.35">
      <c r="A94" s="687"/>
      <c r="B94" s="718">
        <v>10</v>
      </c>
      <c r="D94" s="718" t="s">
        <v>487</v>
      </c>
      <c r="E94" s="463"/>
      <c r="F94" s="487"/>
      <c r="G94" s="419"/>
      <c r="H94" s="68"/>
      <c r="I94" s="355"/>
    </row>
    <row r="95" spans="1:9" s="718" customFormat="1" x14ac:dyDescent="0.35">
      <c r="A95" s="687"/>
      <c r="B95" s="718">
        <v>11</v>
      </c>
      <c r="D95" s="718" t="s">
        <v>487</v>
      </c>
      <c r="E95" s="463"/>
      <c r="F95" s="487"/>
      <c r="G95" s="419"/>
      <c r="H95" s="68"/>
      <c r="I95" s="355"/>
    </row>
    <row r="96" spans="1:9" s="718" customFormat="1" x14ac:dyDescent="0.35">
      <c r="A96" s="687"/>
      <c r="B96" s="718">
        <v>12</v>
      </c>
      <c r="D96" s="718" t="s">
        <v>487</v>
      </c>
      <c r="E96" s="463"/>
      <c r="F96" s="487"/>
      <c r="G96" s="419"/>
      <c r="H96" s="68"/>
      <c r="I96" s="355"/>
    </row>
    <row r="97" spans="1:9" s="718" customFormat="1" x14ac:dyDescent="0.35">
      <c r="A97" s="687"/>
      <c r="B97" s="718">
        <v>13</v>
      </c>
      <c r="D97" s="718" t="s">
        <v>487</v>
      </c>
      <c r="E97" s="463"/>
      <c r="F97" s="487"/>
      <c r="G97" s="419"/>
      <c r="H97" s="68"/>
      <c r="I97" s="355"/>
    </row>
    <row r="98" spans="1:9" s="718" customFormat="1" x14ac:dyDescent="0.35">
      <c r="A98" s="687"/>
      <c r="B98" s="546">
        <v>14</v>
      </c>
      <c r="D98" s="718" t="s">
        <v>487</v>
      </c>
      <c r="E98" s="463"/>
      <c r="F98" s="487"/>
      <c r="G98" s="419"/>
      <c r="H98" s="68"/>
      <c r="I98" s="355"/>
    </row>
    <row r="99" spans="1:9" s="718" customFormat="1" x14ac:dyDescent="0.35">
      <c r="A99" s="687"/>
      <c r="B99" s="546">
        <v>15</v>
      </c>
      <c r="D99" s="718" t="s">
        <v>487</v>
      </c>
      <c r="E99" s="463"/>
      <c r="F99" s="487"/>
      <c r="G99" s="419"/>
      <c r="H99" s="68"/>
      <c r="I99" s="355"/>
    </row>
    <row r="100" spans="1:9" s="718" customFormat="1" x14ac:dyDescent="0.35">
      <c r="A100" s="687"/>
      <c r="B100" s="546">
        <v>16</v>
      </c>
      <c r="D100" s="546" t="s">
        <v>486</v>
      </c>
      <c r="E100" s="463"/>
      <c r="F100" s="487"/>
      <c r="G100" s="419"/>
      <c r="H100" s="68"/>
      <c r="I100" s="355"/>
    </row>
    <row r="101" spans="1:9" s="346" customFormat="1" x14ac:dyDescent="0.35">
      <c r="A101" s="349"/>
      <c r="B101" s="546">
        <v>17</v>
      </c>
      <c r="D101" s="546" t="s">
        <v>486</v>
      </c>
      <c r="E101" s="348"/>
      <c r="F101" s="69"/>
      <c r="G101" s="347"/>
      <c r="H101" s="68"/>
      <c r="I101" s="350"/>
    </row>
    <row r="102" spans="1:9" s="351" customFormat="1" x14ac:dyDescent="0.35">
      <c r="A102" s="354"/>
      <c r="B102" s="546">
        <v>18</v>
      </c>
      <c r="D102" s="718" t="s">
        <v>487</v>
      </c>
      <c r="E102" s="353"/>
      <c r="F102" s="69"/>
      <c r="G102" s="352"/>
      <c r="H102" s="68"/>
      <c r="I102" s="355"/>
    </row>
    <row r="103" spans="1:9" s="293" customFormat="1" x14ac:dyDescent="0.35">
      <c r="B103" s="546">
        <v>19</v>
      </c>
      <c r="C103" s="340"/>
      <c r="D103" s="718" t="s">
        <v>475</v>
      </c>
      <c r="E103" s="64"/>
      <c r="F103" s="69"/>
      <c r="G103" s="201"/>
      <c r="H103" s="68"/>
    </row>
    <row r="104" spans="1:9" s="293" customFormat="1" ht="15.5" x14ac:dyDescent="0.35">
      <c r="B104" s="546">
        <v>20</v>
      </c>
      <c r="C104" s="341"/>
      <c r="D104" s="718" t="s">
        <v>475</v>
      </c>
      <c r="E104" s="311"/>
      <c r="F104" s="312"/>
      <c r="G104" s="313"/>
      <c r="H104" s="314"/>
    </row>
    <row r="105" spans="1:9" s="293" customFormat="1" ht="15.5" x14ac:dyDescent="0.35">
      <c r="B105" s="546">
        <v>21</v>
      </c>
      <c r="D105" s="718" t="s">
        <v>475</v>
      </c>
      <c r="E105" s="311"/>
      <c r="F105" s="312"/>
      <c r="G105" s="313"/>
      <c r="H105" s="314"/>
    </row>
    <row r="106" spans="1:9" s="293" customFormat="1" ht="15.5" x14ac:dyDescent="0.35">
      <c r="B106" s="546">
        <v>22</v>
      </c>
      <c r="D106" s="718" t="s">
        <v>475</v>
      </c>
      <c r="E106" s="311"/>
      <c r="F106" s="312"/>
      <c r="G106" s="313"/>
      <c r="H106" s="314"/>
    </row>
    <row r="107" spans="1:9" s="718" customFormat="1" ht="15.5" x14ac:dyDescent="0.35">
      <c r="B107" s="546"/>
      <c r="D107" s="77"/>
      <c r="E107" s="311"/>
      <c r="F107" s="312"/>
      <c r="G107" s="313"/>
      <c r="H107" s="314"/>
    </row>
    <row r="108" spans="1:9" s="293" customFormat="1" ht="15.5" x14ac:dyDescent="0.35">
      <c r="A108" s="211" t="s">
        <v>245</v>
      </c>
      <c r="B108" s="77"/>
      <c r="D108" s="77"/>
      <c r="E108" s="311"/>
      <c r="F108" s="312"/>
      <c r="G108" s="313"/>
      <c r="H108" s="314"/>
    </row>
    <row r="109" spans="1:9" s="293" customFormat="1" ht="15.5" x14ac:dyDescent="0.35">
      <c r="A109" s="211"/>
      <c r="B109" s="719" t="s">
        <v>489</v>
      </c>
      <c r="F109" s="312"/>
      <c r="G109" s="313"/>
      <c r="H109" s="314"/>
    </row>
    <row r="110" spans="1:9" s="718" customFormat="1" ht="15.5" x14ac:dyDescent="0.35">
      <c r="A110" s="687"/>
      <c r="B110" s="718" t="s">
        <v>459</v>
      </c>
      <c r="F110" s="312"/>
      <c r="G110" s="313"/>
      <c r="H110" s="314"/>
    </row>
    <row r="111" spans="1:9" x14ac:dyDescent="0.35">
      <c r="B111" s="346"/>
    </row>
    <row r="112" spans="1:9" x14ac:dyDescent="0.35">
      <c r="A112" s="211" t="s">
        <v>488</v>
      </c>
      <c r="B112" s="346"/>
    </row>
    <row r="113" spans="2:5" ht="15.5" x14ac:dyDescent="0.35">
      <c r="B113" s="718">
        <v>1</v>
      </c>
      <c r="C113" s="293"/>
      <c r="D113" s="71" t="s">
        <v>487</v>
      </c>
      <c r="E113" s="311"/>
    </row>
    <row r="114" spans="2:5" ht="15.5" x14ac:dyDescent="0.35">
      <c r="B114" s="718">
        <v>2</v>
      </c>
      <c r="C114" s="293"/>
      <c r="D114" s="718" t="s">
        <v>487</v>
      </c>
      <c r="E114" s="311"/>
    </row>
    <row r="115" spans="2:5" ht="15.5" x14ac:dyDescent="0.35">
      <c r="B115" s="718">
        <v>3</v>
      </c>
      <c r="C115" s="293"/>
      <c r="D115" s="718" t="s">
        <v>487</v>
      </c>
      <c r="E115" s="311"/>
    </row>
    <row r="116" spans="2:5" ht="15.5" x14ac:dyDescent="0.35">
      <c r="B116" s="718">
        <v>4</v>
      </c>
      <c r="C116" s="293"/>
      <c r="D116" s="718" t="s">
        <v>487</v>
      </c>
      <c r="E116" s="311"/>
    </row>
    <row r="117" spans="2:5" ht="15.5" x14ac:dyDescent="0.35">
      <c r="B117" s="718">
        <v>5</v>
      </c>
      <c r="C117" s="293"/>
      <c r="D117" s="718" t="s">
        <v>487</v>
      </c>
      <c r="E117" s="311"/>
    </row>
    <row r="118" spans="2:5" ht="15.5" x14ac:dyDescent="0.35">
      <c r="B118" s="718">
        <v>6</v>
      </c>
      <c r="C118" s="293"/>
      <c r="D118" s="718" t="s">
        <v>487</v>
      </c>
      <c r="E118" s="311"/>
    </row>
    <row r="119" spans="2:5" ht="15.5" x14ac:dyDescent="0.35">
      <c r="B119" s="718">
        <v>7</v>
      </c>
      <c r="C119" s="293"/>
      <c r="D119" s="718" t="s">
        <v>487</v>
      </c>
      <c r="E119" s="311"/>
    </row>
    <row r="120" spans="2:5" ht="15.5" x14ac:dyDescent="0.35">
      <c r="B120" s="718">
        <v>8</v>
      </c>
      <c r="C120" s="293"/>
      <c r="D120" s="718" t="s">
        <v>487</v>
      </c>
      <c r="E120" s="311"/>
    </row>
    <row r="121" spans="2:5" ht="15.5" x14ac:dyDescent="0.35">
      <c r="B121" s="718">
        <v>9</v>
      </c>
      <c r="C121" s="293"/>
      <c r="D121" s="718" t="s">
        <v>487</v>
      </c>
      <c r="E121" s="311"/>
    </row>
    <row r="122" spans="2:5" ht="15.5" x14ac:dyDescent="0.35">
      <c r="B122" s="718">
        <v>10</v>
      </c>
      <c r="C122" s="293"/>
      <c r="D122" s="718" t="s">
        <v>487</v>
      </c>
      <c r="E122" s="311"/>
    </row>
    <row r="123" spans="2:5" x14ac:dyDescent="0.35">
      <c r="B123" s="718">
        <v>11</v>
      </c>
      <c r="C123" s="293"/>
      <c r="D123" s="718" t="s">
        <v>487</v>
      </c>
      <c r="E123" s="293"/>
    </row>
    <row r="124" spans="2:5" x14ac:dyDescent="0.35">
      <c r="B124" s="718">
        <v>12</v>
      </c>
      <c r="D124" s="718" t="s">
        <v>487</v>
      </c>
    </row>
    <row r="125" spans="2:5" x14ac:dyDescent="0.35">
      <c r="B125" s="718">
        <v>13</v>
      </c>
      <c r="D125" s="718" t="s">
        <v>487</v>
      </c>
    </row>
    <row r="126" spans="2:5" x14ac:dyDescent="0.35">
      <c r="B126" s="546">
        <v>14</v>
      </c>
      <c r="D126" s="718" t="s">
        <v>487</v>
      </c>
    </row>
    <row r="127" spans="2:5" x14ac:dyDescent="0.35">
      <c r="B127" s="546">
        <v>15</v>
      </c>
      <c r="D127" s="718" t="s">
        <v>487</v>
      </c>
    </row>
    <row r="128" spans="2:5" x14ac:dyDescent="0.35">
      <c r="B128" s="546">
        <v>16</v>
      </c>
      <c r="D128" s="546" t="s">
        <v>486</v>
      </c>
    </row>
    <row r="129" spans="2:4" x14ac:dyDescent="0.35">
      <c r="B129" s="546">
        <v>17</v>
      </c>
      <c r="D129" s="546" t="s">
        <v>486</v>
      </c>
    </row>
    <row r="130" spans="2:4" x14ac:dyDescent="0.35">
      <c r="B130" s="546">
        <v>18</v>
      </c>
      <c r="D130" s="718" t="s">
        <v>487</v>
      </c>
    </row>
    <row r="131" spans="2:4" x14ac:dyDescent="0.35">
      <c r="B131" s="546">
        <v>19</v>
      </c>
      <c r="D131" s="718" t="s">
        <v>475</v>
      </c>
    </row>
    <row r="132" spans="2:4" x14ac:dyDescent="0.35">
      <c r="B132" s="546">
        <v>20</v>
      </c>
      <c r="D132" s="544" t="s">
        <v>475</v>
      </c>
    </row>
    <row r="133" spans="2:4" x14ac:dyDescent="0.35">
      <c r="B133" s="546">
        <v>21</v>
      </c>
      <c r="D133" s="544" t="s">
        <v>475</v>
      </c>
    </row>
    <row r="134" spans="2:4" x14ac:dyDescent="0.35">
      <c r="B134" s="546">
        <v>22</v>
      </c>
      <c r="D134" s="544" t="s">
        <v>475</v>
      </c>
    </row>
  </sheetData>
  <mergeCells count="2">
    <mergeCell ref="B4:C4"/>
    <mergeCell ref="B5:C5"/>
  </mergeCells>
  <dataValidations disablePrompts="1" count="3">
    <dataValidation type="list" showInputMessage="1" showErrorMessage="1" sqref="F55:F79 F27:F50">
      <formula1>$E$4:$E$16</formula1>
    </dataValidation>
    <dataValidation type="list" showInputMessage="1" showErrorMessage="1" sqref="D80:D84 D107:D108">
      <formula1>#REF!</formula1>
    </dataValidation>
    <dataValidation showInputMessage="1" showErrorMessage="1" sqref="E4:E16"/>
  </dataValidation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6"/>
  <sheetViews>
    <sheetView zoomScale="70" zoomScaleNormal="70" workbookViewId="0">
      <selection activeCell="B18" sqref="B18"/>
    </sheetView>
  </sheetViews>
  <sheetFormatPr defaultRowHeight="14.5" x14ac:dyDescent="0.35"/>
  <cols>
    <col min="1" max="1" width="5.6328125" customWidth="1"/>
    <col min="4" max="4" width="26" customWidth="1"/>
    <col min="5" max="8" width="22.90625" bestFit="1" customWidth="1"/>
  </cols>
  <sheetData>
    <row r="1" spans="1:12" x14ac:dyDescent="0.35">
      <c r="A1" s="59" t="s">
        <v>150</v>
      </c>
    </row>
    <row r="2" spans="1:12" x14ac:dyDescent="0.35">
      <c r="E2" s="65"/>
      <c r="F2" s="65"/>
      <c r="G2" s="65"/>
      <c r="H2" s="65"/>
    </row>
    <row r="3" spans="1:12" x14ac:dyDescent="0.35">
      <c r="E3">
        <v>1</v>
      </c>
      <c r="F3">
        <v>10</v>
      </c>
      <c r="G3">
        <v>50</v>
      </c>
      <c r="H3">
        <v>100</v>
      </c>
    </row>
    <row r="4" spans="1:12" x14ac:dyDescent="0.35">
      <c r="B4" s="66"/>
      <c r="D4" t="s">
        <v>491</v>
      </c>
      <c r="E4" s="463">
        <f>'CBS (Total)'!J24+'CBS (Total)'!J29</f>
        <v>946224.02113193483</v>
      </c>
      <c r="F4" s="463">
        <f>'CBS (Total)'!L24+'CBS (Total)'!L29</f>
        <v>7139821.0919233821</v>
      </c>
      <c r="G4" s="463">
        <f>'CBS (Total)'!N24+'CBS (Total)'!N29</f>
        <v>31251939.780302547</v>
      </c>
      <c r="H4" s="463">
        <f>'CBS (Total)'!P24+'CBS (Total)'!P29</f>
        <v>59738189.033883259</v>
      </c>
      <c r="J4" s="463"/>
      <c r="L4" s="463"/>
    </row>
    <row r="5" spans="1:12" x14ac:dyDescent="0.35">
      <c r="B5" s="66"/>
      <c r="E5" s="424">
        <v>0.3</v>
      </c>
      <c r="F5" s="424">
        <v>0.2</v>
      </c>
      <c r="G5" s="424">
        <v>0.2</v>
      </c>
      <c r="H5" s="424">
        <v>0.2</v>
      </c>
    </row>
    <row r="7" spans="1:12" s="718" customFormat="1" x14ac:dyDescent="0.35">
      <c r="D7" s="329" t="s">
        <v>97</v>
      </c>
      <c r="E7" s="106">
        <f>E4*E5</f>
        <v>283867.20633958041</v>
      </c>
      <c r="F7" s="106">
        <f t="shared" ref="F7:H7" si="0">F4*F5</f>
        <v>1427964.2183846766</v>
      </c>
      <c r="G7" s="106">
        <f t="shared" si="0"/>
        <v>6250387.9560605101</v>
      </c>
      <c r="H7" s="106">
        <f t="shared" si="0"/>
        <v>11947637.806776652</v>
      </c>
    </row>
    <row r="8" spans="1:12" s="718" customFormat="1" x14ac:dyDescent="0.35">
      <c r="E8" s="65"/>
      <c r="F8" s="65"/>
      <c r="G8" s="65"/>
      <c r="H8" s="65"/>
    </row>
    <row r="10" spans="1:12" s="293" customFormat="1" x14ac:dyDescent="0.35">
      <c r="A10" s="211" t="s">
        <v>235</v>
      </c>
      <c r="E10" s="64"/>
      <c r="F10" s="64"/>
      <c r="G10" s="64"/>
      <c r="H10" s="64"/>
    </row>
    <row r="11" spans="1:12" s="293" customFormat="1" x14ac:dyDescent="0.35">
      <c r="A11" s="293">
        <v>1.6</v>
      </c>
      <c r="B11" s="356" t="s">
        <v>1412</v>
      </c>
      <c r="E11" s="64"/>
      <c r="F11" s="64"/>
      <c r="G11" s="64"/>
      <c r="H11" s="64"/>
    </row>
    <row r="12" spans="1:12" s="293" customFormat="1" x14ac:dyDescent="0.35">
      <c r="B12" s="356"/>
    </row>
    <row r="13" spans="1:12" s="293" customFormat="1" x14ac:dyDescent="0.35">
      <c r="B13" s="357"/>
    </row>
    <row r="14" spans="1:12" s="293" customFormat="1" x14ac:dyDescent="0.35"/>
    <row r="15" spans="1:12" s="293" customFormat="1" x14ac:dyDescent="0.35">
      <c r="A15" s="211" t="s">
        <v>232</v>
      </c>
    </row>
    <row r="16" spans="1:12" s="293" customFormat="1" x14ac:dyDescent="0.35">
      <c r="A16" s="293">
        <v>1.6</v>
      </c>
      <c r="B16" s="293" t="s">
        <v>236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topLeftCell="A19" zoomScale="80" zoomScaleNormal="80" workbookViewId="0">
      <selection activeCell="G38" sqref="G38"/>
    </sheetView>
  </sheetViews>
  <sheetFormatPr defaultRowHeight="14.5" x14ac:dyDescent="0.35"/>
  <cols>
    <col min="3" max="3" width="65" customWidth="1"/>
    <col min="4" max="4" width="12.81640625" customWidth="1"/>
    <col min="5" max="5" width="9.36328125" customWidth="1"/>
    <col min="6" max="6" width="12.08984375" bestFit="1" customWidth="1"/>
    <col min="7" max="7" width="9.90625" bestFit="1" customWidth="1"/>
  </cols>
  <sheetData>
    <row r="1" spans="1:8" s="725" customFormat="1" x14ac:dyDescent="0.35">
      <c r="E1" s="876" t="s">
        <v>1418</v>
      </c>
      <c r="F1" s="876">
        <f>'Performance &amp; Economics'!G143</f>
        <v>0.108</v>
      </c>
      <c r="G1" s="876" t="s">
        <v>1421</v>
      </c>
      <c r="H1" s="877">
        <f>'Performance &amp; Economics'!S16</f>
        <v>0.30223378196443612</v>
      </c>
    </row>
    <row r="2" spans="1:8" s="725" customFormat="1" x14ac:dyDescent="0.35">
      <c r="E2" s="873"/>
      <c r="F2" s="873"/>
      <c r="G2" s="873"/>
      <c r="H2" s="874"/>
    </row>
    <row r="3" spans="1:8" s="725" customFormat="1" x14ac:dyDescent="0.35">
      <c r="A3" s="687"/>
      <c r="B3" s="280"/>
      <c r="C3" s="280"/>
      <c r="D3" s="786" t="s">
        <v>1415</v>
      </c>
      <c r="E3" s="786" t="s">
        <v>142</v>
      </c>
      <c r="F3" s="786" t="s">
        <v>1417</v>
      </c>
    </row>
    <row r="4" spans="1:8" s="687" customFormat="1" ht="20" customHeight="1" x14ac:dyDescent="0.35">
      <c r="A4" s="703">
        <v>1</v>
      </c>
      <c r="B4" s="861">
        <v>1</v>
      </c>
      <c r="C4" s="862" t="s">
        <v>514</v>
      </c>
      <c r="D4" s="863"/>
      <c r="E4" s="786"/>
      <c r="F4" s="786"/>
    </row>
    <row r="5" spans="1:8" s="687" customFormat="1" ht="20" customHeight="1" x14ac:dyDescent="0.35">
      <c r="A5" s="703">
        <v>1.1000000000000001</v>
      </c>
      <c r="B5" s="861">
        <v>2</v>
      </c>
      <c r="C5" s="862" t="s">
        <v>516</v>
      </c>
      <c r="D5" s="863">
        <f>D6+D7</f>
        <v>1894.1514108632502</v>
      </c>
      <c r="E5" s="868">
        <f>D5/$D$22</f>
        <v>0.3664570265128646</v>
      </c>
      <c r="F5" s="869">
        <f>(D5*$F$1)/($H$1*24*365)*100</f>
        <v>7.72665169624476</v>
      </c>
    </row>
    <row r="6" spans="1:8" ht="20" customHeight="1" x14ac:dyDescent="0.35">
      <c r="A6" s="739" t="s">
        <v>2</v>
      </c>
      <c r="B6" s="749">
        <v>3</v>
      </c>
      <c r="C6" s="750" t="s">
        <v>518</v>
      </c>
      <c r="D6" s="751">
        <f>'DoE CBS'!D10</f>
        <v>531.68540082285426</v>
      </c>
      <c r="E6" s="870">
        <f t="shared" ref="E6:E21" si="0">D6/$D$22</f>
        <v>0.10286392624602614</v>
      </c>
      <c r="F6" s="871">
        <f t="shared" ref="F6:F21" si="1">(D6*$F$1)/($H$1*24*365)*100</f>
        <v>2.1688593005689096</v>
      </c>
    </row>
    <row r="7" spans="1:8" ht="20" customHeight="1" x14ac:dyDescent="0.35">
      <c r="A7" s="739" t="s">
        <v>4</v>
      </c>
      <c r="B7" s="749">
        <v>3</v>
      </c>
      <c r="C7" s="750" t="s">
        <v>558</v>
      </c>
      <c r="D7" s="751">
        <f>'DoE CBS'!D25</f>
        <v>1362.466010040396</v>
      </c>
      <c r="E7" s="870">
        <f t="shared" si="0"/>
        <v>0.26359310026683846</v>
      </c>
      <c r="F7" s="871">
        <f t="shared" si="1"/>
        <v>5.5577923956758513</v>
      </c>
    </row>
    <row r="8" spans="1:8" s="687" customFormat="1" ht="20" customHeight="1" x14ac:dyDescent="0.35">
      <c r="A8" s="703">
        <v>1.2</v>
      </c>
      <c r="B8" s="861">
        <v>2</v>
      </c>
      <c r="C8" s="862" t="s">
        <v>653</v>
      </c>
      <c r="D8" s="863">
        <f>SUM(D9:D16)</f>
        <v>2804.778350269466</v>
      </c>
      <c r="E8" s="868">
        <f t="shared" si="0"/>
        <v>0.54263388257804457</v>
      </c>
      <c r="F8" s="869">
        <f t="shared" si="1"/>
        <v>11.441295174931897</v>
      </c>
    </row>
    <row r="9" spans="1:8" ht="20" customHeight="1" x14ac:dyDescent="0.35">
      <c r="A9" s="725" t="s">
        <v>9</v>
      </c>
      <c r="B9" s="749">
        <v>3</v>
      </c>
      <c r="C9" s="750" t="s">
        <v>655</v>
      </c>
      <c r="D9" s="751">
        <f>'DoE CBS'!D59</f>
        <v>220.22774096385541</v>
      </c>
      <c r="E9" s="870">
        <f t="shared" si="0"/>
        <v>4.2606944010077516E-2</v>
      </c>
      <c r="F9" s="871">
        <f t="shared" si="1"/>
        <v>0.89835640304120079</v>
      </c>
    </row>
    <row r="10" spans="1:8" ht="20" customHeight="1" x14ac:dyDescent="0.35">
      <c r="A10" s="725" t="s">
        <v>11</v>
      </c>
      <c r="B10" s="749">
        <v>3</v>
      </c>
      <c r="C10" s="750" t="s">
        <v>747</v>
      </c>
      <c r="D10" s="751">
        <f>'DoE CBS'!D90</f>
        <v>46.524057040917981</v>
      </c>
      <c r="E10" s="870">
        <f t="shared" si="0"/>
        <v>9.0009000900090012E-3</v>
      </c>
      <c r="F10" s="871">
        <f t="shared" si="1"/>
        <v>0.18978165218986789</v>
      </c>
    </row>
    <row r="11" spans="1:8" ht="20" customHeight="1" x14ac:dyDescent="0.35">
      <c r="A11" s="725" t="s">
        <v>13</v>
      </c>
      <c r="B11" s="749">
        <v>3</v>
      </c>
      <c r="C11" s="750" t="s">
        <v>778</v>
      </c>
      <c r="D11" s="751">
        <f>'DoE CBS'!D101</f>
        <v>553.31325301204822</v>
      </c>
      <c r="E11" s="870">
        <f t="shared" si="0"/>
        <v>0.10704821603281763</v>
      </c>
      <c r="F11" s="871">
        <f t="shared" si="1"/>
        <v>2.2570839693284181</v>
      </c>
    </row>
    <row r="12" spans="1:8" ht="20" customHeight="1" x14ac:dyDescent="0.35">
      <c r="A12" s="725" t="s">
        <v>15</v>
      </c>
      <c r="B12" s="749">
        <v>3</v>
      </c>
      <c r="C12" s="750" t="s">
        <v>1003</v>
      </c>
      <c r="D12" s="762">
        <f>'DoE CBS'!D185</f>
        <v>0</v>
      </c>
      <c r="E12" s="870">
        <f t="shared" si="0"/>
        <v>0</v>
      </c>
      <c r="F12" s="871">
        <f t="shared" si="1"/>
        <v>0</v>
      </c>
    </row>
    <row r="13" spans="1:8" ht="20" customHeight="1" x14ac:dyDescent="0.35">
      <c r="A13" s="725" t="s">
        <v>16</v>
      </c>
      <c r="B13" s="749">
        <v>3</v>
      </c>
      <c r="C13" s="750" t="s">
        <v>1005</v>
      </c>
      <c r="D13" s="762">
        <f>'DoE CBS'!D186</f>
        <v>0</v>
      </c>
      <c r="E13" s="870">
        <f t="shared" si="0"/>
        <v>0</v>
      </c>
      <c r="F13" s="871">
        <f t="shared" si="1"/>
        <v>0</v>
      </c>
    </row>
    <row r="14" spans="1:8" ht="20" customHeight="1" x14ac:dyDescent="0.35">
      <c r="A14" s="725" t="s">
        <v>1040</v>
      </c>
      <c r="B14" s="749">
        <v>3</v>
      </c>
      <c r="C14" s="750" t="s">
        <v>1041</v>
      </c>
      <c r="D14" s="751">
        <f>'DoE CBS'!D198</f>
        <v>1582.8340558902275</v>
      </c>
      <c r="E14" s="870">
        <f t="shared" si="0"/>
        <v>0.30622718873380844</v>
      </c>
      <c r="F14" s="871">
        <f t="shared" si="1"/>
        <v>6.4567211325753702</v>
      </c>
    </row>
    <row r="15" spans="1:8" ht="20" customHeight="1" x14ac:dyDescent="0.35">
      <c r="A15" s="725" t="s">
        <v>1122</v>
      </c>
      <c r="B15" s="749">
        <v>3</v>
      </c>
      <c r="C15" s="750" t="s">
        <v>1123</v>
      </c>
      <c r="D15" s="751">
        <f>'DoE CBS'!D227</f>
        <v>233.13253012048193</v>
      </c>
      <c r="E15" s="870">
        <f t="shared" si="0"/>
        <v>4.5103603271312374E-2</v>
      </c>
      <c r="F15" s="871">
        <f t="shared" si="1"/>
        <v>0.95099781832345998</v>
      </c>
    </row>
    <row r="16" spans="1:8" ht="20" customHeight="1" x14ac:dyDescent="0.35">
      <c r="A16" s="725" t="s">
        <v>1140</v>
      </c>
      <c r="B16" s="749">
        <v>3</v>
      </c>
      <c r="C16" s="750" t="s">
        <v>1141</v>
      </c>
      <c r="D16" s="751">
        <f>'DoE CBS'!D233</f>
        <v>168.74671324193497</v>
      </c>
      <c r="E16" s="870">
        <f t="shared" si="0"/>
        <v>3.2647030440019556E-2</v>
      </c>
      <c r="F16" s="871">
        <f t="shared" si="1"/>
        <v>0.68835419947358001</v>
      </c>
    </row>
    <row r="17" spans="1:6" s="687" customFormat="1" ht="20" customHeight="1" x14ac:dyDescent="0.35">
      <c r="A17" s="703">
        <v>1.3</v>
      </c>
      <c r="B17" s="861">
        <v>2</v>
      </c>
      <c r="C17" s="862" t="s">
        <v>1218</v>
      </c>
      <c r="D17" s="864">
        <f>SUM(D18:D21)</f>
        <v>469.89297611327169</v>
      </c>
      <c r="E17" s="868">
        <f t="shared" si="0"/>
        <v>9.0909090909090925E-2</v>
      </c>
      <c r="F17" s="869">
        <f t="shared" si="1"/>
        <v>1.916794687117666</v>
      </c>
    </row>
    <row r="18" spans="1:6" ht="20" customHeight="1" x14ac:dyDescent="0.35">
      <c r="A18" s="725" t="s">
        <v>19</v>
      </c>
      <c r="B18" s="749">
        <v>3</v>
      </c>
      <c r="C18" s="750" t="s">
        <v>1220</v>
      </c>
      <c r="D18" s="767">
        <f>'DoE CBS'!D261</f>
        <v>469.89297611327169</v>
      </c>
      <c r="E18" s="870">
        <f t="shared" si="0"/>
        <v>9.0909090909090925E-2</v>
      </c>
      <c r="F18" s="871">
        <f t="shared" si="1"/>
        <v>1.916794687117666</v>
      </c>
    </row>
    <row r="19" spans="1:6" ht="20" customHeight="1" x14ac:dyDescent="0.35">
      <c r="A19" s="725" t="s">
        <v>21</v>
      </c>
      <c r="B19" s="749">
        <v>3</v>
      </c>
      <c r="C19" s="750" t="s">
        <v>1222</v>
      </c>
      <c r="D19" s="762">
        <v>0</v>
      </c>
      <c r="E19" s="870">
        <f t="shared" si="0"/>
        <v>0</v>
      </c>
      <c r="F19" s="871">
        <f t="shared" si="1"/>
        <v>0</v>
      </c>
    </row>
    <row r="20" spans="1:6" ht="20" customHeight="1" x14ac:dyDescent="0.35">
      <c r="A20" s="725" t="s">
        <v>23</v>
      </c>
      <c r="B20" s="749">
        <v>3</v>
      </c>
      <c r="C20" s="750" t="s">
        <v>1224</v>
      </c>
      <c r="D20" s="762">
        <v>0</v>
      </c>
      <c r="E20" s="870">
        <f t="shared" si="0"/>
        <v>0</v>
      </c>
      <c r="F20" s="871">
        <f t="shared" si="1"/>
        <v>0</v>
      </c>
    </row>
    <row r="21" spans="1:6" ht="20" customHeight="1" x14ac:dyDescent="0.35">
      <c r="A21" s="725" t="s">
        <v>24</v>
      </c>
      <c r="B21" s="749">
        <v>3</v>
      </c>
      <c r="C21" s="750" t="s">
        <v>1226</v>
      </c>
      <c r="D21" s="762">
        <v>0</v>
      </c>
      <c r="E21" s="870">
        <f t="shared" si="0"/>
        <v>0</v>
      </c>
      <c r="F21" s="871">
        <f t="shared" si="1"/>
        <v>0</v>
      </c>
    </row>
    <row r="22" spans="1:6" ht="20" customHeight="1" x14ac:dyDescent="0.35">
      <c r="A22" s="725"/>
      <c r="B22" s="687" t="s">
        <v>81</v>
      </c>
      <c r="C22" s="687"/>
      <c r="D22" s="731">
        <f>D17+D8+D5</f>
        <v>5168.8227372459878</v>
      </c>
      <c r="E22" s="120"/>
      <c r="F22" s="867">
        <f>F17+F8+F5</f>
        <v>21.084741558294322</v>
      </c>
    </row>
    <row r="23" spans="1:6" s="725" customFormat="1" ht="20" customHeight="1" x14ac:dyDescent="0.35">
      <c r="B23" s="687"/>
      <c r="C23" s="687"/>
      <c r="D23" s="731"/>
      <c r="E23" s="120"/>
      <c r="F23" s="867"/>
    </row>
    <row r="24" spans="1:6" ht="20" customHeight="1" x14ac:dyDescent="0.35">
      <c r="A24" s="747" t="s">
        <v>511</v>
      </c>
      <c r="B24" s="875" t="s">
        <v>512</v>
      </c>
      <c r="C24" s="875" t="s">
        <v>112</v>
      </c>
      <c r="D24" s="875" t="s">
        <v>1419</v>
      </c>
      <c r="E24" s="875" t="s">
        <v>142</v>
      </c>
      <c r="F24" s="875" t="s">
        <v>1420</v>
      </c>
    </row>
    <row r="25" spans="1:6" s="687" customFormat="1" ht="20" customHeight="1" x14ac:dyDescent="0.35">
      <c r="A25" s="703">
        <v>2</v>
      </c>
      <c r="B25" s="861">
        <v>1</v>
      </c>
      <c r="C25" s="862" t="s">
        <v>1238</v>
      </c>
      <c r="D25" s="863"/>
      <c r="E25" s="786"/>
      <c r="F25" s="786"/>
    </row>
    <row r="26" spans="1:6" s="687" customFormat="1" ht="20" customHeight="1" x14ac:dyDescent="0.35">
      <c r="A26" s="703">
        <v>2.1</v>
      </c>
      <c r="B26" s="861">
        <v>2</v>
      </c>
      <c r="C26" s="862" t="s">
        <v>1240</v>
      </c>
      <c r="D26" s="863">
        <f>SUM(D27:D30)</f>
        <v>55.925950056603568</v>
      </c>
      <c r="E26" s="868">
        <f>D26/$D$35</f>
        <v>0.22165045069667932</v>
      </c>
      <c r="F26" s="869">
        <f>D26/(24*365*$H$1)*100</f>
        <v>2.1123518464897275</v>
      </c>
    </row>
    <row r="27" spans="1:6" ht="20" customHeight="1" x14ac:dyDescent="0.35">
      <c r="A27" s="725" t="s">
        <v>1242</v>
      </c>
      <c r="B27" s="749">
        <v>3</v>
      </c>
      <c r="C27" s="750" t="s">
        <v>1243</v>
      </c>
      <c r="D27" s="751">
        <f>'DoE CBS'!D273</f>
        <v>33.765060240963855</v>
      </c>
      <c r="E27" s="870">
        <f t="shared" ref="E27:E34" si="2">D27/$D$35</f>
        <v>0.13382053970715646</v>
      </c>
      <c r="F27" s="871">
        <f t="shared" ref="F27:F34" si="3">D27/(24*365*$H$1)*100</f>
        <v>1.2753236605663205</v>
      </c>
    </row>
    <row r="28" spans="1:6" ht="20" customHeight="1" x14ac:dyDescent="0.35">
      <c r="A28" s="725" t="s">
        <v>1251</v>
      </c>
      <c r="B28" s="749">
        <v>3</v>
      </c>
      <c r="C28" s="750" t="s">
        <v>1252</v>
      </c>
      <c r="D28" s="762">
        <v>0</v>
      </c>
      <c r="E28" s="870">
        <f t="shared" si="2"/>
        <v>0</v>
      </c>
      <c r="F28" s="871">
        <f t="shared" si="3"/>
        <v>0</v>
      </c>
    </row>
    <row r="29" spans="1:6" ht="20" customHeight="1" x14ac:dyDescent="0.35">
      <c r="A29" s="725" t="s">
        <v>1266</v>
      </c>
      <c r="B29" s="749">
        <v>3</v>
      </c>
      <c r="C29" s="750" t="s">
        <v>1267</v>
      </c>
      <c r="D29" s="751">
        <f>'DoE CBS'!D281</f>
        <v>22.160889815639713</v>
      </c>
      <c r="E29" s="870">
        <f t="shared" si="2"/>
        <v>8.7829910989522877E-2</v>
      </c>
      <c r="F29" s="871">
        <f t="shared" si="3"/>
        <v>0.837028185923407</v>
      </c>
    </row>
    <row r="30" spans="1:6" ht="20" customHeight="1" x14ac:dyDescent="0.35">
      <c r="A30" s="725" t="s">
        <v>1269</v>
      </c>
      <c r="B30" s="749">
        <v>3</v>
      </c>
      <c r="C30" s="750" t="s">
        <v>1270</v>
      </c>
      <c r="D30" s="762">
        <f>'DoE CBS'!D282</f>
        <v>0</v>
      </c>
      <c r="E30" s="870">
        <f t="shared" si="2"/>
        <v>0</v>
      </c>
      <c r="F30" s="871">
        <f t="shared" si="3"/>
        <v>0</v>
      </c>
    </row>
    <row r="31" spans="1:6" s="687" customFormat="1" ht="20" customHeight="1" x14ac:dyDescent="0.35">
      <c r="A31" s="703">
        <v>2.2000000000000002</v>
      </c>
      <c r="B31" s="861">
        <v>2</v>
      </c>
      <c r="C31" s="862" t="s">
        <v>1301</v>
      </c>
      <c r="D31" s="865">
        <f>SUM(D32:D34)</f>
        <v>196.39002710843374</v>
      </c>
      <c r="E31" s="868">
        <f t="shared" si="2"/>
        <v>0.77834954930332068</v>
      </c>
      <c r="F31" s="869">
        <f t="shared" si="3"/>
        <v>7.4177521521725858</v>
      </c>
    </row>
    <row r="32" spans="1:6" ht="20" customHeight="1" x14ac:dyDescent="0.35">
      <c r="A32" s="725" t="s">
        <v>1303</v>
      </c>
      <c r="B32" s="749">
        <v>3</v>
      </c>
      <c r="C32" s="750" t="s">
        <v>1304</v>
      </c>
      <c r="D32" s="762">
        <f>'DoE CBS'!D294</f>
        <v>0</v>
      </c>
      <c r="E32" s="870">
        <f t="shared" si="2"/>
        <v>0</v>
      </c>
      <c r="F32" s="871">
        <f t="shared" si="3"/>
        <v>0</v>
      </c>
    </row>
    <row r="33" spans="1:6" ht="20" customHeight="1" x14ac:dyDescent="0.35">
      <c r="A33" s="725" t="s">
        <v>1306</v>
      </c>
      <c r="B33" s="749">
        <v>3</v>
      </c>
      <c r="C33" s="750" t="s">
        <v>1307</v>
      </c>
      <c r="D33" s="766">
        <f>'DoE CBS'!D295</f>
        <v>98.195013554216871</v>
      </c>
      <c r="E33" s="870">
        <f t="shared" si="2"/>
        <v>0.38917477465166034</v>
      </c>
      <c r="F33" s="871">
        <f t="shared" si="3"/>
        <v>3.7088760760862929</v>
      </c>
    </row>
    <row r="34" spans="1:6" ht="20" customHeight="1" x14ac:dyDescent="0.35">
      <c r="A34" s="725" t="s">
        <v>1336</v>
      </c>
      <c r="B34" s="749">
        <v>3</v>
      </c>
      <c r="C34" s="750" t="s">
        <v>1337</v>
      </c>
      <c r="D34" s="771">
        <f>'DoE CBS'!D305</f>
        <v>98.195013554216871</v>
      </c>
      <c r="E34" s="870">
        <f t="shared" si="2"/>
        <v>0.38917477465166034</v>
      </c>
      <c r="F34" s="871">
        <f t="shared" si="3"/>
        <v>3.7088760760862929</v>
      </c>
    </row>
    <row r="35" spans="1:6" x14ac:dyDescent="0.35">
      <c r="B35" s="687" t="s">
        <v>81</v>
      </c>
      <c r="D35" s="731">
        <f>D31+D26</f>
        <v>252.31597716503731</v>
      </c>
      <c r="E35" s="866">
        <f>D35/$D$35</f>
        <v>1</v>
      </c>
      <c r="F35" s="867">
        <f>F31+F26</f>
        <v>9.5301039986623124</v>
      </c>
    </row>
    <row r="36" spans="1:6" s="725" customFormat="1" x14ac:dyDescent="0.35">
      <c r="B36" s="156" t="s">
        <v>1422</v>
      </c>
      <c r="C36" s="156"/>
      <c r="D36" s="156"/>
      <c r="E36" s="156"/>
      <c r="F36" s="872">
        <f>F35+F22</f>
        <v>30.614845556956634</v>
      </c>
    </row>
    <row r="37" spans="1:6" s="725" customFormat="1" x14ac:dyDescent="0.35"/>
  </sheetData>
  <conditionalFormatting sqref="B4:D4">
    <cfRule type="expression" dxfId="7" priority="3">
      <formula>#REF!=1</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24"/>
  <sheetViews>
    <sheetView topLeftCell="A53" zoomScale="70" zoomScaleNormal="70" workbookViewId="0">
      <selection activeCell="N100" sqref="N100"/>
    </sheetView>
  </sheetViews>
  <sheetFormatPr defaultColWidth="9.08984375" defaultRowHeight="14.5" x14ac:dyDescent="0.35"/>
  <cols>
    <col min="1" max="1" width="6.90625" style="7" customWidth="1"/>
    <col min="2" max="2" width="3.6328125" style="7" customWidth="1"/>
    <col min="3" max="3" width="25.453125" style="7" customWidth="1"/>
    <col min="4" max="4" width="31.54296875" style="7" customWidth="1"/>
    <col min="5" max="5" width="13.453125" style="7" customWidth="1"/>
    <col min="6" max="6" width="15" style="7" bestFit="1" customWidth="1"/>
    <col min="7" max="7" width="16.90625" style="7" bestFit="1" customWidth="1"/>
    <col min="8" max="8" width="16.453125" style="7" bestFit="1" customWidth="1"/>
    <col min="9" max="9" width="15.90625" style="7" customWidth="1"/>
    <col min="10" max="10" width="13.36328125" style="7" customWidth="1"/>
    <col min="11" max="11" width="13.54296875" style="7" bestFit="1" customWidth="1"/>
    <col min="12" max="12" width="13.08984375" style="7" bestFit="1" customWidth="1"/>
    <col min="13" max="13" width="14.54296875" style="7" bestFit="1" customWidth="1"/>
    <col min="14" max="14" width="14" style="7" customWidth="1"/>
    <col min="15" max="15" width="13.08984375" style="7" bestFit="1" customWidth="1"/>
    <col min="16" max="16" width="15.453125" style="7" bestFit="1" customWidth="1"/>
    <col min="17" max="17" width="15" style="7" customWidth="1"/>
    <col min="18" max="18" width="13.54296875" style="7" bestFit="1" customWidth="1"/>
    <col min="19" max="19" width="12" style="7" bestFit="1" customWidth="1"/>
    <col min="20" max="20" width="10.6328125" style="7" customWidth="1"/>
    <col min="21" max="21" width="13.54296875" style="7" bestFit="1" customWidth="1"/>
    <col min="22" max="22" width="15.36328125" style="7" customWidth="1"/>
    <col min="23" max="16384" width="9.08984375" style="7"/>
  </cols>
  <sheetData>
    <row r="1" spans="1:22" s="12" customFormat="1" x14ac:dyDescent="0.35">
      <c r="A1" s="373" t="s">
        <v>391</v>
      </c>
      <c r="B1" s="412"/>
      <c r="C1" s="412"/>
      <c r="D1" s="412"/>
      <c r="E1" s="412"/>
      <c r="F1" s="412"/>
      <c r="G1" s="412"/>
      <c r="H1" s="412"/>
      <c r="I1" s="412"/>
      <c r="J1" s="412"/>
      <c r="K1" s="412"/>
      <c r="L1" s="412"/>
      <c r="M1" s="412"/>
      <c r="N1" s="412"/>
      <c r="O1" s="412"/>
      <c r="P1" s="480"/>
      <c r="Q1" s="480"/>
      <c r="R1" s="480"/>
      <c r="S1" s="480"/>
      <c r="T1" s="480"/>
      <c r="U1" s="412"/>
      <c r="V1" s="412"/>
    </row>
    <row r="2" spans="1:22" s="66" customFormat="1" x14ac:dyDescent="0.35">
      <c r="A2" s="412"/>
      <c r="B2" s="412"/>
      <c r="C2" s="412"/>
      <c r="D2" s="412"/>
      <c r="E2" s="412"/>
      <c r="F2" s="412"/>
      <c r="G2" s="412"/>
      <c r="H2" s="412"/>
      <c r="I2" s="412"/>
      <c r="J2" s="412"/>
      <c r="K2" s="412"/>
      <c r="L2" s="412"/>
      <c r="M2" s="412"/>
      <c r="N2" s="412"/>
      <c r="O2" s="412"/>
      <c r="P2" s="480"/>
      <c r="Q2" s="480"/>
      <c r="R2" s="480"/>
      <c r="S2" s="480"/>
      <c r="T2" s="480"/>
      <c r="U2" s="412"/>
      <c r="V2" s="412"/>
    </row>
    <row r="3" spans="1:22" s="58" customFormat="1" x14ac:dyDescent="0.35">
      <c r="A3" s="373" t="s">
        <v>108</v>
      </c>
      <c r="B3" s="412"/>
      <c r="C3" s="412"/>
      <c r="D3" s="412"/>
      <c r="E3" s="412"/>
      <c r="F3" s="412"/>
      <c r="G3" s="412"/>
      <c r="H3" s="412"/>
      <c r="I3" s="412"/>
      <c r="J3" s="412"/>
      <c r="K3" s="412"/>
      <c r="L3" s="412"/>
      <c r="M3" s="412"/>
      <c r="N3" s="412"/>
      <c r="O3" s="412"/>
      <c r="P3" s="480"/>
      <c r="Q3" s="480"/>
      <c r="R3" s="480"/>
      <c r="S3" s="480"/>
      <c r="T3" s="480"/>
      <c r="U3" s="412"/>
      <c r="V3" s="412"/>
    </row>
    <row r="4" spans="1:22" s="58" customFormat="1" x14ac:dyDescent="0.35">
      <c r="A4" s="412"/>
      <c r="B4" s="412"/>
      <c r="C4" s="412"/>
      <c r="D4" s="412"/>
      <c r="E4" s="412" t="s">
        <v>66</v>
      </c>
      <c r="F4" s="412">
        <v>1</v>
      </c>
      <c r="G4" s="412">
        <v>10</v>
      </c>
      <c r="H4" s="412">
        <v>50</v>
      </c>
      <c r="I4" s="412">
        <v>100</v>
      </c>
      <c r="J4" s="412"/>
      <c r="K4" s="412"/>
      <c r="L4" s="412"/>
      <c r="M4" s="412"/>
      <c r="N4" s="412"/>
      <c r="O4" s="412"/>
      <c r="P4" s="480"/>
      <c r="Q4" s="539"/>
      <c r="R4" s="480"/>
      <c r="S4" s="480"/>
      <c r="T4" s="480"/>
      <c r="U4" s="412"/>
      <c r="V4" s="412"/>
    </row>
    <row r="5" spans="1:22" s="58" customFormat="1" x14ac:dyDescent="0.35">
      <c r="A5" s="412"/>
      <c r="B5" s="375" t="s">
        <v>73</v>
      </c>
      <c r="C5" s="412"/>
      <c r="D5" s="412" t="s">
        <v>48</v>
      </c>
      <c r="E5" s="412"/>
      <c r="F5" s="384">
        <f>F20</f>
        <v>29750</v>
      </c>
      <c r="G5" s="384">
        <f>G20</f>
        <v>297500</v>
      </c>
      <c r="H5" s="384">
        <f>H20</f>
        <v>1487500</v>
      </c>
      <c r="I5" s="384">
        <f>I20</f>
        <v>2975000</v>
      </c>
      <c r="J5" s="412"/>
      <c r="K5" s="412"/>
      <c r="L5" s="412"/>
      <c r="M5" s="412"/>
      <c r="N5" s="412"/>
      <c r="O5" s="412"/>
      <c r="P5" s="539"/>
      <c r="Q5" s="541"/>
      <c r="R5" s="541"/>
      <c r="S5" s="541"/>
      <c r="T5" s="541"/>
      <c r="U5" s="412"/>
      <c r="V5" s="412"/>
    </row>
    <row r="6" spans="1:22" s="58" customFormat="1" x14ac:dyDescent="0.35">
      <c r="A6" s="412"/>
      <c r="B6" s="375" t="s">
        <v>74</v>
      </c>
      <c r="C6" s="412"/>
      <c r="D6" s="412" t="s">
        <v>49</v>
      </c>
      <c r="E6" s="412"/>
      <c r="F6" s="384">
        <f>F34</f>
        <v>667000</v>
      </c>
      <c r="G6" s="384">
        <f t="shared" ref="G6:I6" si="0">G34</f>
        <v>767200</v>
      </c>
      <c r="H6" s="384">
        <f t="shared" si="0"/>
        <v>767200</v>
      </c>
      <c r="I6" s="384">
        <f t="shared" si="0"/>
        <v>1534000</v>
      </c>
      <c r="J6" s="412"/>
      <c r="K6" s="412"/>
      <c r="L6" s="412"/>
      <c r="M6" s="412"/>
      <c r="N6" s="412"/>
      <c r="O6" s="412"/>
      <c r="P6" s="539"/>
      <c r="Q6" s="541"/>
      <c r="R6" s="541"/>
      <c r="S6" s="541"/>
      <c r="T6" s="541"/>
      <c r="U6" s="412"/>
      <c r="V6" s="412"/>
    </row>
    <row r="7" spans="1:22" s="58" customFormat="1" x14ac:dyDescent="0.35">
      <c r="A7" s="412"/>
      <c r="B7" s="375" t="s">
        <v>75</v>
      </c>
      <c r="C7" s="412"/>
      <c r="D7" s="412" t="s">
        <v>71</v>
      </c>
      <c r="E7" s="412"/>
      <c r="F7" s="384">
        <f>G52</f>
        <v>3193833.5500000003</v>
      </c>
      <c r="G7" s="384">
        <f>J52</f>
        <v>3904558.5555555555</v>
      </c>
      <c r="H7" s="384">
        <f>M52</f>
        <v>7063960.777777778</v>
      </c>
      <c r="I7" s="384">
        <f>P52</f>
        <v>11013213.555555556</v>
      </c>
      <c r="J7" s="412"/>
      <c r="K7" s="412"/>
      <c r="L7" s="412"/>
      <c r="M7" s="412"/>
      <c r="N7" s="412"/>
      <c r="O7" s="412"/>
      <c r="P7" s="539"/>
      <c r="Q7" s="541"/>
      <c r="R7" s="541"/>
      <c r="S7" s="541"/>
      <c r="T7" s="541"/>
      <c r="U7" s="412"/>
      <c r="V7" s="412"/>
    </row>
    <row r="8" spans="1:22" s="58" customFormat="1" x14ac:dyDescent="0.35">
      <c r="A8" s="412"/>
      <c r="B8" s="375" t="s">
        <v>76</v>
      </c>
      <c r="C8" s="412"/>
      <c r="D8" s="412" t="s">
        <v>252</v>
      </c>
      <c r="E8" s="412"/>
      <c r="F8" s="384">
        <f>G79</f>
        <v>1507533.78</v>
      </c>
      <c r="G8" s="384">
        <f>J79</f>
        <v>2280164.6</v>
      </c>
      <c r="H8" s="384">
        <f>M79</f>
        <v>4503814.5999999996</v>
      </c>
      <c r="I8" s="384">
        <f>P79</f>
        <v>7283377.0999999996</v>
      </c>
      <c r="J8" s="412"/>
      <c r="K8" s="412"/>
      <c r="L8" s="412"/>
      <c r="M8" s="412"/>
      <c r="N8" s="412"/>
      <c r="O8" s="412"/>
      <c r="P8" s="539"/>
      <c r="Q8" s="541"/>
      <c r="R8" s="541"/>
      <c r="S8" s="541"/>
      <c r="T8" s="541"/>
      <c r="U8" s="412"/>
      <c r="V8" s="412"/>
    </row>
    <row r="9" spans="1:22" s="58" customFormat="1" x14ac:dyDescent="0.35">
      <c r="A9" s="412"/>
      <c r="B9" s="375" t="s">
        <v>77</v>
      </c>
      <c r="C9" s="412"/>
      <c r="D9" s="412" t="s">
        <v>50</v>
      </c>
      <c r="E9" s="412"/>
      <c r="F9" s="384">
        <f>G96</f>
        <v>328655</v>
      </c>
      <c r="G9" s="384">
        <f>J96</f>
        <v>1650800</v>
      </c>
      <c r="H9" s="384">
        <f>M96</f>
        <v>7527000</v>
      </c>
      <c r="I9" s="384">
        <f>P96</f>
        <v>14872250</v>
      </c>
      <c r="J9" s="412"/>
      <c r="K9" s="412"/>
      <c r="L9" s="412"/>
      <c r="M9" s="412"/>
      <c r="N9" s="412"/>
      <c r="O9" s="412"/>
      <c r="P9" s="539"/>
      <c r="Q9" s="541"/>
      <c r="R9" s="541"/>
      <c r="S9" s="541"/>
      <c r="T9" s="541"/>
      <c r="U9" s="412"/>
      <c r="V9" s="412"/>
    </row>
    <row r="10" spans="1:22" s="58" customFormat="1" x14ac:dyDescent="0.35">
      <c r="A10" s="412"/>
      <c r="B10" s="375" t="s">
        <v>78</v>
      </c>
      <c r="C10" s="412"/>
      <c r="D10" s="412" t="s">
        <v>51</v>
      </c>
      <c r="E10" s="412"/>
      <c r="F10" s="384">
        <f>F104</f>
        <v>328655</v>
      </c>
      <c r="G10" s="384">
        <f>G104</f>
        <v>1650800</v>
      </c>
      <c r="H10" s="384">
        <f>H104</f>
        <v>7527000</v>
      </c>
      <c r="I10" s="384">
        <f>I104</f>
        <v>14872250</v>
      </c>
      <c r="J10" s="412"/>
      <c r="K10" s="412"/>
      <c r="L10" s="412"/>
      <c r="M10" s="412"/>
      <c r="N10" s="412"/>
      <c r="O10" s="412"/>
      <c r="P10" s="412"/>
      <c r="Q10" s="412"/>
      <c r="R10" s="412"/>
      <c r="S10" s="412"/>
      <c r="T10" s="412"/>
      <c r="U10" s="412"/>
      <c r="V10" s="412"/>
    </row>
    <row r="11" spans="1:22" s="58" customFormat="1" x14ac:dyDescent="0.35">
      <c r="A11" s="412"/>
      <c r="B11" s="412"/>
      <c r="C11" s="412"/>
      <c r="D11" s="412"/>
      <c r="E11" s="412"/>
      <c r="F11" s="412"/>
      <c r="G11" s="412"/>
      <c r="H11" s="412"/>
      <c r="I11" s="412"/>
      <c r="J11" s="412"/>
      <c r="K11" s="412"/>
      <c r="L11" s="412"/>
      <c r="M11" s="412"/>
      <c r="N11" s="412"/>
      <c r="O11" s="412"/>
      <c r="P11" s="412"/>
      <c r="Q11" s="412"/>
      <c r="R11" s="412"/>
      <c r="S11" s="412"/>
      <c r="T11" s="412"/>
      <c r="U11" s="412"/>
      <c r="V11" s="412"/>
    </row>
    <row r="12" spans="1:22" s="544" customFormat="1" x14ac:dyDescent="0.35">
      <c r="A12" s="464"/>
      <c r="B12" s="362" t="s">
        <v>81</v>
      </c>
      <c r="C12" s="362"/>
      <c r="D12" s="362"/>
      <c r="E12" s="362"/>
      <c r="F12" s="366">
        <f>SUM(F5:F10)</f>
        <v>6055427.3300000001</v>
      </c>
      <c r="G12" s="366">
        <f t="shared" ref="G12:I12" si="1">SUM(G5:G10)</f>
        <v>10551023.155555556</v>
      </c>
      <c r="H12" s="366">
        <f t="shared" si="1"/>
        <v>28876475.377777778</v>
      </c>
      <c r="I12" s="366">
        <f t="shared" si="1"/>
        <v>52550090.655555554</v>
      </c>
      <c r="J12" s="464"/>
      <c r="K12" s="464"/>
      <c r="L12" s="464"/>
      <c r="M12" s="464"/>
      <c r="N12" s="464"/>
      <c r="O12" s="464"/>
      <c r="P12" s="464"/>
      <c r="Q12" s="464"/>
      <c r="R12" s="464"/>
      <c r="S12" s="464"/>
      <c r="T12" s="464"/>
      <c r="U12" s="464"/>
      <c r="V12" s="464"/>
    </row>
    <row r="13" spans="1:22" s="58" customFormat="1" x14ac:dyDescent="0.35">
      <c r="A13" s="412"/>
      <c r="B13" s="412"/>
      <c r="C13" s="412"/>
      <c r="D13" s="412"/>
      <c r="E13" s="412"/>
      <c r="F13" s="412"/>
      <c r="G13" s="412"/>
      <c r="H13" s="412"/>
      <c r="I13" s="412"/>
      <c r="J13" s="381"/>
      <c r="K13" s="381"/>
      <c r="L13" s="381"/>
      <c r="M13" s="381"/>
      <c r="N13" s="381"/>
      <c r="O13" s="381"/>
      <c r="P13" s="412"/>
      <c r="Q13" s="412"/>
      <c r="R13" s="412"/>
      <c r="S13" s="412"/>
      <c r="T13" s="412"/>
      <c r="U13" s="412"/>
      <c r="V13" s="412"/>
    </row>
    <row r="14" spans="1:22" s="12" customFormat="1" x14ac:dyDescent="0.35">
      <c r="A14" s="412"/>
      <c r="B14" s="412"/>
      <c r="C14" s="412"/>
      <c r="D14" s="412"/>
      <c r="E14" s="412"/>
      <c r="F14" s="363"/>
      <c r="G14" s="383" t="s">
        <v>292</v>
      </c>
      <c r="H14" s="363" t="s">
        <v>66</v>
      </c>
      <c r="I14" s="410"/>
      <c r="K14" s="381"/>
      <c r="L14" s="381"/>
      <c r="M14" s="381"/>
      <c r="N14" s="381"/>
      <c r="O14" s="381"/>
      <c r="P14" s="412"/>
      <c r="Q14" s="412"/>
      <c r="R14" s="412"/>
      <c r="S14" s="412"/>
      <c r="T14" s="412"/>
      <c r="U14" s="412"/>
      <c r="V14" s="412"/>
    </row>
    <row r="15" spans="1:22" s="12" customFormat="1" x14ac:dyDescent="0.35">
      <c r="A15" s="373" t="s">
        <v>73</v>
      </c>
      <c r="B15" s="373" t="s">
        <v>89</v>
      </c>
      <c r="C15" s="412"/>
      <c r="D15" s="412"/>
      <c r="F15" s="599">
        <v>1</v>
      </c>
      <c r="G15" s="599">
        <v>10</v>
      </c>
      <c r="H15" s="599">
        <v>50</v>
      </c>
      <c r="I15" s="599">
        <v>100</v>
      </c>
      <c r="K15" s="381"/>
      <c r="L15" s="381"/>
      <c r="M15" s="381"/>
      <c r="N15" s="381"/>
      <c r="O15" s="381"/>
      <c r="P15" s="412"/>
      <c r="Q15" s="412"/>
      <c r="R15" s="412"/>
      <c r="S15" s="412"/>
      <c r="T15" s="412"/>
      <c r="U15" s="412"/>
      <c r="V15" s="412"/>
    </row>
    <row r="16" spans="1:22" s="544" customFormat="1" x14ac:dyDescent="0.35">
      <c r="A16" s="373"/>
      <c r="B16" s="373"/>
      <c r="C16" s="464"/>
      <c r="D16" s="464"/>
      <c r="F16" s="370"/>
      <c r="G16" s="383"/>
      <c r="H16" s="383"/>
      <c r="I16" s="383"/>
      <c r="K16" s="381"/>
      <c r="L16" s="381"/>
      <c r="M16" s="381"/>
      <c r="N16" s="381"/>
      <c r="O16" s="381"/>
      <c r="P16" s="464"/>
      <c r="Q16" s="464"/>
      <c r="R16" s="464"/>
      <c r="S16" s="464"/>
      <c r="T16" s="464"/>
      <c r="U16" s="464"/>
      <c r="V16" s="464"/>
    </row>
    <row r="17" spans="1:22" s="544" customFormat="1" x14ac:dyDescent="0.35">
      <c r="A17" s="373"/>
      <c r="B17" s="464" t="s">
        <v>333</v>
      </c>
      <c r="C17" s="464"/>
      <c r="D17" s="464"/>
      <c r="F17" s="600">
        <v>29750</v>
      </c>
      <c r="G17" s="600">
        <f>F17*G15</f>
        <v>297500</v>
      </c>
      <c r="H17" s="600">
        <f>F17*H15</f>
        <v>1487500</v>
      </c>
      <c r="I17" s="600">
        <f>F17*I15</f>
        <v>2975000</v>
      </c>
      <c r="K17" s="381"/>
      <c r="L17" s="381"/>
      <c r="M17" s="381"/>
      <c r="N17" s="381"/>
      <c r="O17" s="381"/>
      <c r="P17" s="464"/>
      <c r="Q17" s="464"/>
      <c r="R17" s="464"/>
      <c r="S17" s="464"/>
      <c r="T17" s="464"/>
      <c r="U17" s="464"/>
      <c r="V17" s="464"/>
    </row>
    <row r="18" spans="1:22" s="544" customFormat="1" x14ac:dyDescent="0.35">
      <c r="A18" s="373"/>
      <c r="B18" s="464" t="s">
        <v>332</v>
      </c>
      <c r="C18" s="464"/>
      <c r="D18" s="464"/>
      <c r="F18" s="370"/>
      <c r="G18" s="383"/>
      <c r="H18" s="383"/>
      <c r="I18" s="383"/>
      <c r="K18" s="381"/>
      <c r="L18" s="381"/>
      <c r="M18" s="381"/>
      <c r="N18" s="381"/>
      <c r="O18" s="381"/>
      <c r="P18" s="464"/>
      <c r="Q18" s="464"/>
      <c r="R18" s="464"/>
      <c r="S18" s="464"/>
      <c r="T18" s="464"/>
      <c r="U18" s="464"/>
      <c r="V18" s="464"/>
    </row>
    <row r="19" spans="1:22" s="71" customFormat="1" x14ac:dyDescent="0.35">
      <c r="A19" s="412"/>
      <c r="B19" s="412"/>
      <c r="C19" s="464"/>
      <c r="D19" s="464"/>
      <c r="E19" s="464"/>
      <c r="F19" s="464"/>
      <c r="G19" s="464"/>
      <c r="H19" s="464"/>
      <c r="I19" s="464"/>
      <c r="K19" s="381"/>
      <c r="L19" s="381"/>
      <c r="M19" s="381"/>
      <c r="N19" s="381"/>
      <c r="O19" s="381"/>
      <c r="P19" s="412"/>
      <c r="Q19" s="412"/>
      <c r="R19" s="412"/>
      <c r="S19" s="412"/>
      <c r="T19" s="412"/>
      <c r="U19" s="412"/>
      <c r="V19" s="412"/>
    </row>
    <row r="20" spans="1:22" s="71" customFormat="1" x14ac:dyDescent="0.35">
      <c r="A20" s="412"/>
      <c r="B20" s="362" t="s">
        <v>81</v>
      </c>
      <c r="C20" s="362"/>
      <c r="D20" s="362"/>
      <c r="E20" s="362"/>
      <c r="F20" s="366">
        <f>SUM(F17:F18)</f>
        <v>29750</v>
      </c>
      <c r="G20" s="366">
        <f t="shared" ref="G20:I20" si="2">SUM(G17:G18)</f>
        <v>297500</v>
      </c>
      <c r="H20" s="366">
        <f t="shared" si="2"/>
        <v>1487500</v>
      </c>
      <c r="I20" s="366">
        <f t="shared" si="2"/>
        <v>2975000</v>
      </c>
      <c r="K20" s="381"/>
      <c r="L20" s="381"/>
      <c r="M20" s="381"/>
      <c r="N20" s="381"/>
      <c r="O20" s="381"/>
      <c r="P20" s="412"/>
      <c r="Q20" s="412"/>
      <c r="R20" s="412"/>
      <c r="S20" s="412"/>
      <c r="T20" s="412"/>
      <c r="U20" s="412"/>
      <c r="V20" s="412"/>
    </row>
    <row r="21" spans="1:22" s="71" customFormat="1" x14ac:dyDescent="0.35">
      <c r="A21" s="412"/>
      <c r="B21" s="412"/>
      <c r="C21" s="412"/>
      <c r="D21" s="412"/>
      <c r="E21" s="412"/>
      <c r="F21" s="363"/>
      <c r="G21" s="363"/>
      <c r="H21" s="363"/>
      <c r="I21" s="410"/>
      <c r="K21" s="368"/>
      <c r="L21" s="368"/>
      <c r="M21" s="368"/>
      <c r="N21" s="368"/>
      <c r="O21" s="381"/>
      <c r="P21" s="412"/>
      <c r="Q21" s="412"/>
      <c r="R21" s="412"/>
      <c r="S21" s="412"/>
      <c r="T21" s="412"/>
      <c r="U21" s="412"/>
      <c r="V21" s="412"/>
    </row>
    <row r="22" spans="1:22" s="12" customFormat="1" x14ac:dyDescent="0.35">
      <c r="A22" s="412"/>
      <c r="B22" s="412"/>
      <c r="C22" s="412"/>
      <c r="D22" s="412"/>
      <c r="E22" s="480"/>
      <c r="F22" s="544"/>
      <c r="G22" s="104" t="s">
        <v>292</v>
      </c>
      <c r="H22" s="441" t="s">
        <v>66</v>
      </c>
      <c r="I22" s="441"/>
      <c r="K22" s="480"/>
      <c r="L22" s="480"/>
      <c r="M22" s="480"/>
      <c r="N22" s="480"/>
      <c r="O22" s="480"/>
      <c r="P22" s="480"/>
      <c r="Q22" s="480"/>
      <c r="R22" s="480"/>
      <c r="S22" s="480"/>
      <c r="T22" s="480"/>
      <c r="U22" s="480"/>
      <c r="V22" s="480"/>
    </row>
    <row r="23" spans="1:22" s="12" customFormat="1" x14ac:dyDescent="0.35">
      <c r="A23" s="483" t="s">
        <v>74</v>
      </c>
      <c r="B23" s="373" t="s">
        <v>254</v>
      </c>
      <c r="C23" s="412"/>
      <c r="D23" s="412"/>
      <c r="E23" s="480"/>
      <c r="F23" s="599">
        <v>1</v>
      </c>
      <c r="G23" s="599">
        <v>10</v>
      </c>
      <c r="H23" s="599">
        <v>50</v>
      </c>
      <c r="I23" s="599">
        <v>100</v>
      </c>
      <c r="K23" s="479"/>
      <c r="L23" s="479"/>
      <c r="M23" s="479"/>
      <c r="N23" s="479"/>
      <c r="O23" s="479"/>
      <c r="P23" s="479"/>
      <c r="Q23" s="470"/>
      <c r="R23" s="470"/>
      <c r="S23" s="479"/>
      <c r="T23" s="479"/>
      <c r="U23" s="479"/>
      <c r="V23" s="480"/>
    </row>
    <row r="24" spans="1:22" s="544" customFormat="1" x14ac:dyDescent="0.35">
      <c r="A24" s="483"/>
      <c r="B24" s="373"/>
      <c r="C24" s="464"/>
      <c r="D24" s="464"/>
      <c r="E24" s="480"/>
      <c r="F24" s="480"/>
      <c r="G24" s="370"/>
      <c r="H24" s="383"/>
      <c r="I24" s="383"/>
      <c r="J24" s="383"/>
      <c r="K24" s="479"/>
      <c r="L24" s="479"/>
      <c r="M24" s="479"/>
      <c r="N24" s="479"/>
      <c r="O24" s="479"/>
      <c r="P24" s="479"/>
      <c r="Q24" s="470"/>
      <c r="R24" s="470"/>
      <c r="S24" s="479"/>
      <c r="T24" s="479"/>
      <c r="U24" s="479"/>
      <c r="V24" s="480"/>
    </row>
    <row r="25" spans="1:22" s="544" customFormat="1" x14ac:dyDescent="0.35">
      <c r="B25" s="544" t="s">
        <v>334</v>
      </c>
      <c r="G25" s="441"/>
      <c r="H25" s="441"/>
      <c r="I25" s="441"/>
      <c r="J25" s="383"/>
      <c r="K25" s="479"/>
      <c r="L25" s="479"/>
      <c r="M25" s="479"/>
      <c r="N25" s="479"/>
      <c r="O25" s="479"/>
      <c r="P25" s="479"/>
      <c r="Q25" s="470"/>
      <c r="R25" s="470"/>
      <c r="S25" s="479"/>
      <c r="T25" s="479"/>
      <c r="U25" s="479"/>
      <c r="V25" s="480"/>
    </row>
    <row r="26" spans="1:22" s="544" customFormat="1" x14ac:dyDescent="0.35">
      <c r="B26" s="544" t="s">
        <v>335</v>
      </c>
      <c r="G26" s="441"/>
      <c r="H26" s="441"/>
      <c r="I26" s="441"/>
      <c r="J26" s="383"/>
      <c r="K26" s="479"/>
      <c r="L26" s="479"/>
      <c r="M26" s="479"/>
      <c r="N26" s="479"/>
      <c r="O26" s="479"/>
      <c r="P26" s="479"/>
      <c r="Q26" s="470"/>
      <c r="R26" s="470"/>
      <c r="S26" s="479"/>
      <c r="T26" s="479"/>
      <c r="U26" s="479"/>
      <c r="V26" s="480"/>
    </row>
    <row r="27" spans="1:22" s="544" customFormat="1" x14ac:dyDescent="0.35">
      <c r="B27" s="544" t="s">
        <v>336</v>
      </c>
      <c r="G27" s="441"/>
      <c r="H27" s="441"/>
      <c r="I27" s="441"/>
      <c r="J27" s="383"/>
      <c r="K27" s="479"/>
      <c r="L27" s="479"/>
      <c r="M27" s="479"/>
      <c r="N27" s="479"/>
      <c r="O27" s="479"/>
      <c r="P27" s="479"/>
      <c r="Q27" s="470"/>
      <c r="R27" s="470"/>
      <c r="S27" s="479"/>
      <c r="T27" s="479"/>
      <c r="U27" s="479"/>
      <c r="V27" s="480"/>
    </row>
    <row r="28" spans="1:22" s="544" customFormat="1" x14ac:dyDescent="0.35">
      <c r="B28" s="601" t="s">
        <v>337</v>
      </c>
      <c r="G28" s="441"/>
      <c r="H28" s="441"/>
      <c r="I28" s="441"/>
      <c r="J28" s="383"/>
      <c r="K28" s="479"/>
      <c r="L28" s="479"/>
      <c r="M28" s="479"/>
      <c r="N28" s="479"/>
      <c r="O28" s="479"/>
      <c r="P28" s="479"/>
      <c r="Q28" s="470"/>
      <c r="R28" s="470"/>
      <c r="S28" s="479"/>
      <c r="T28" s="479"/>
      <c r="U28" s="479"/>
      <c r="V28" s="480"/>
    </row>
    <row r="29" spans="1:22" s="544" customFormat="1" x14ac:dyDescent="0.35">
      <c r="B29" s="601" t="s">
        <v>338</v>
      </c>
      <c r="G29" s="441"/>
      <c r="H29" s="441"/>
      <c r="I29" s="441"/>
      <c r="J29" s="383"/>
      <c r="K29" s="479"/>
      <c r="L29" s="479"/>
      <c r="M29" s="479"/>
      <c r="N29" s="479"/>
      <c r="O29" s="479"/>
      <c r="P29" s="479"/>
      <c r="Q29" s="470"/>
      <c r="R29" s="470"/>
      <c r="S29" s="479"/>
      <c r="T29" s="479"/>
      <c r="U29" s="479"/>
      <c r="V29" s="480"/>
    </row>
    <row r="30" spans="1:22" s="544" customFormat="1" x14ac:dyDescent="0.35">
      <c r="B30" s="601" t="s">
        <v>343</v>
      </c>
      <c r="G30" s="441"/>
      <c r="H30" s="441"/>
      <c r="I30" s="441"/>
      <c r="J30" s="383"/>
      <c r="K30" s="479"/>
      <c r="L30" s="479"/>
      <c r="M30" s="479"/>
      <c r="N30" s="479"/>
      <c r="O30" s="479"/>
      <c r="P30" s="479"/>
      <c r="Q30" s="470"/>
      <c r="R30" s="470"/>
      <c r="S30" s="479"/>
      <c r="T30" s="479"/>
      <c r="U30" s="479"/>
      <c r="V30" s="480"/>
    </row>
    <row r="31" spans="1:22" s="544" customFormat="1" x14ac:dyDescent="0.35">
      <c r="B31" s="601" t="s">
        <v>341</v>
      </c>
      <c r="G31" s="441"/>
      <c r="H31" s="441"/>
      <c r="I31" s="441"/>
      <c r="J31" s="383"/>
      <c r="K31" s="479"/>
      <c r="L31" s="479"/>
      <c r="M31" s="479"/>
      <c r="N31" s="479"/>
      <c r="O31" s="479"/>
      <c r="P31" s="479"/>
      <c r="Q31" s="470"/>
      <c r="R31" s="470"/>
      <c r="S31" s="479"/>
      <c r="T31" s="479"/>
      <c r="U31" s="479"/>
      <c r="V31" s="480"/>
    </row>
    <row r="32" spans="1:22" s="544" customFormat="1" x14ac:dyDescent="0.35">
      <c r="B32" s="601" t="s">
        <v>339</v>
      </c>
      <c r="G32" s="441"/>
      <c r="H32" s="441"/>
      <c r="I32" s="441"/>
      <c r="J32" s="603"/>
      <c r="K32" s="479"/>
      <c r="L32" s="479"/>
      <c r="M32" s="479"/>
      <c r="N32" s="479"/>
      <c r="O32" s="479"/>
      <c r="P32" s="479"/>
      <c r="Q32" s="470"/>
      <c r="R32" s="470"/>
      <c r="S32" s="479"/>
      <c r="T32" s="479"/>
      <c r="U32" s="479"/>
      <c r="V32" s="480"/>
    </row>
    <row r="33" spans="1:22" s="484" customFormat="1" x14ac:dyDescent="0.35">
      <c r="A33" s="544"/>
      <c r="B33" s="601"/>
      <c r="C33" s="544"/>
      <c r="D33" s="544"/>
      <c r="E33" s="544"/>
      <c r="F33" s="462"/>
      <c r="G33" s="104"/>
      <c r="H33" s="104"/>
      <c r="I33" s="104"/>
      <c r="J33" s="381"/>
      <c r="K33" s="479"/>
      <c r="L33" s="479"/>
      <c r="M33" s="479"/>
      <c r="N33" s="479"/>
      <c r="O33" s="479"/>
      <c r="P33" s="479"/>
      <c r="Q33" s="470"/>
      <c r="R33" s="470"/>
      <c r="S33" s="479"/>
      <c r="T33" s="479"/>
      <c r="U33" s="479"/>
      <c r="V33" s="480"/>
    </row>
    <row r="34" spans="1:22" s="12" customFormat="1" x14ac:dyDescent="0.35">
      <c r="A34" s="544"/>
      <c r="B34" s="329" t="s">
        <v>340</v>
      </c>
      <c r="C34" s="329"/>
      <c r="D34" s="329"/>
      <c r="E34" s="329"/>
      <c r="F34" s="602">
        <v>667000</v>
      </c>
      <c r="G34" s="602">
        <v>767200</v>
      </c>
      <c r="H34" s="602">
        <f>G34</f>
        <v>767200</v>
      </c>
      <c r="I34" s="602">
        <v>1534000</v>
      </c>
      <c r="J34" s="379"/>
      <c r="K34" s="479"/>
      <c r="L34" s="479"/>
      <c r="M34" s="479"/>
      <c r="N34" s="479"/>
      <c r="O34" s="479"/>
      <c r="P34" s="479"/>
      <c r="Q34" s="470"/>
      <c r="R34" s="478"/>
      <c r="S34" s="477"/>
      <c r="T34" s="479"/>
      <c r="U34" s="479"/>
      <c r="V34" s="480"/>
    </row>
    <row r="35" spans="1:22" x14ac:dyDescent="0.35">
      <c r="A35" s="412"/>
      <c r="B35" s="381"/>
      <c r="C35" s="381"/>
      <c r="D35" s="381"/>
      <c r="E35" s="381"/>
      <c r="F35" s="381"/>
      <c r="G35" s="381"/>
      <c r="H35" s="381"/>
      <c r="I35" s="381"/>
      <c r="J35" s="381"/>
      <c r="K35" s="409"/>
      <c r="L35" s="381"/>
      <c r="M35" s="381"/>
      <c r="N35" s="381"/>
      <c r="O35" s="381"/>
      <c r="P35" s="381"/>
      <c r="Q35" s="381"/>
      <c r="R35" s="381"/>
      <c r="S35" s="381"/>
      <c r="T35" s="381"/>
      <c r="U35" s="381"/>
      <c r="V35" s="412"/>
    </row>
    <row r="36" spans="1:22" s="359" customFormat="1" x14ac:dyDescent="0.35">
      <c r="A36" s="412"/>
      <c r="B36" s="381"/>
      <c r="C36" s="381"/>
      <c r="D36" s="381"/>
      <c r="E36" s="381"/>
      <c r="F36" s="544"/>
      <c r="G36" s="104" t="s">
        <v>292</v>
      </c>
      <c r="H36" s="441" t="s">
        <v>66</v>
      </c>
      <c r="I36" s="441"/>
      <c r="J36" s="381"/>
      <c r="K36" s="409"/>
      <c r="L36" s="381"/>
      <c r="M36" s="381"/>
      <c r="N36" s="381"/>
      <c r="O36" s="381"/>
      <c r="P36" s="381"/>
      <c r="Q36" s="381"/>
      <c r="R36" s="381"/>
      <c r="S36" s="381"/>
      <c r="T36" s="381"/>
      <c r="U36" s="381"/>
      <c r="V36" s="412"/>
    </row>
    <row r="37" spans="1:22" s="358" customFormat="1" x14ac:dyDescent="0.35">
      <c r="A37" s="483" t="s">
        <v>75</v>
      </c>
      <c r="B37" s="373" t="s">
        <v>253</v>
      </c>
      <c r="C37" s="412"/>
      <c r="D37" s="412"/>
      <c r="E37" s="382"/>
      <c r="F37" s="599">
        <v>1</v>
      </c>
      <c r="G37" s="599">
        <v>10</v>
      </c>
      <c r="H37" s="599">
        <v>50</v>
      </c>
      <c r="I37" s="599">
        <v>100</v>
      </c>
      <c r="K37" s="479"/>
      <c r="L37" s="382"/>
      <c r="M37" s="412"/>
      <c r="N37" s="412"/>
      <c r="O37" s="412"/>
      <c r="P37" s="412"/>
      <c r="Q37" s="412"/>
      <c r="R37" s="412"/>
      <c r="S37" s="412"/>
      <c r="T37" s="412"/>
      <c r="U37" s="412"/>
      <c r="V37" s="412"/>
    </row>
    <row r="38" spans="1:22" s="544" customFormat="1" x14ac:dyDescent="0.35">
      <c r="A38" s="483"/>
      <c r="B38" s="373"/>
      <c r="C38" s="464"/>
      <c r="D38" s="464"/>
      <c r="E38" s="382"/>
      <c r="F38" s="370"/>
      <c r="G38" s="383"/>
      <c r="H38" s="383"/>
      <c r="I38" s="383"/>
      <c r="K38" s="479"/>
      <c r="L38" s="382"/>
      <c r="M38" s="464"/>
      <c r="N38" s="464"/>
      <c r="O38" s="464"/>
      <c r="P38" s="464"/>
      <c r="Q38" s="464"/>
      <c r="R38" s="464"/>
      <c r="S38" s="464"/>
      <c r="T38" s="464"/>
      <c r="U38" s="464"/>
      <c r="V38" s="464"/>
    </row>
    <row r="39" spans="1:22" s="544" customFormat="1" x14ac:dyDescent="0.35">
      <c r="A39" s="483"/>
      <c r="B39" s="464" t="s">
        <v>334</v>
      </c>
      <c r="C39" s="464"/>
      <c r="D39" s="464"/>
      <c r="E39" s="382"/>
      <c r="F39" s="370"/>
      <c r="G39" s="383"/>
      <c r="H39" s="383"/>
      <c r="I39" s="383"/>
      <c r="K39" s="479"/>
      <c r="L39" s="382"/>
      <c r="M39" s="464"/>
      <c r="N39" s="464"/>
      <c r="O39" s="464"/>
      <c r="P39" s="464"/>
      <c r="Q39" s="464"/>
      <c r="R39" s="464"/>
      <c r="S39" s="464"/>
      <c r="T39" s="464"/>
      <c r="U39" s="464"/>
      <c r="V39" s="464"/>
    </row>
    <row r="40" spans="1:22" s="544" customFormat="1" x14ac:dyDescent="0.35">
      <c r="A40" s="483"/>
      <c r="B40" s="464" t="s">
        <v>344</v>
      </c>
      <c r="C40" s="464"/>
      <c r="D40" s="464"/>
      <c r="E40" s="382"/>
      <c r="F40" s="370"/>
      <c r="G40" s="383"/>
      <c r="H40" s="383"/>
      <c r="I40" s="383"/>
      <c r="K40" s="479"/>
      <c r="L40" s="382"/>
      <c r="M40" s="464"/>
      <c r="N40" s="464"/>
      <c r="O40" s="464"/>
      <c r="P40" s="464"/>
      <c r="Q40" s="464"/>
      <c r="R40" s="464"/>
      <c r="S40" s="464"/>
      <c r="T40" s="464"/>
      <c r="U40" s="464"/>
      <c r="V40" s="464"/>
    </row>
    <row r="41" spans="1:22" s="544" customFormat="1" x14ac:dyDescent="0.35">
      <c r="A41" s="483"/>
      <c r="B41" s="373" t="s">
        <v>342</v>
      </c>
      <c r="C41" s="464"/>
      <c r="D41" s="464"/>
      <c r="E41" s="382"/>
      <c r="F41" s="370"/>
      <c r="G41" s="383"/>
      <c r="H41" s="383"/>
      <c r="I41" s="383"/>
      <c r="K41" s="479"/>
      <c r="L41" s="382"/>
      <c r="M41" s="464"/>
      <c r="N41" s="464"/>
      <c r="O41" s="464"/>
      <c r="P41" s="464"/>
      <c r="Q41" s="464"/>
      <c r="R41" s="464"/>
      <c r="S41" s="464"/>
      <c r="T41" s="464"/>
      <c r="U41" s="464"/>
      <c r="V41" s="464"/>
    </row>
    <row r="42" spans="1:22" s="544" customFormat="1" x14ac:dyDescent="0.35">
      <c r="A42" s="483"/>
      <c r="B42" s="464" t="s">
        <v>345</v>
      </c>
      <c r="C42" s="464"/>
      <c r="D42" s="464"/>
      <c r="E42" s="382"/>
      <c r="F42" s="370"/>
      <c r="G42" s="383"/>
      <c r="H42" s="383"/>
      <c r="I42" s="383"/>
      <c r="K42" s="479"/>
      <c r="L42" s="382"/>
      <c r="M42" s="464"/>
      <c r="N42" s="464"/>
      <c r="O42" s="464"/>
      <c r="P42" s="464"/>
      <c r="Q42" s="464"/>
      <c r="R42" s="464"/>
      <c r="S42" s="464"/>
      <c r="T42" s="464"/>
      <c r="U42" s="464"/>
      <c r="V42" s="464"/>
    </row>
    <row r="43" spans="1:22" s="544" customFormat="1" x14ac:dyDescent="0.35">
      <c r="A43" s="483"/>
      <c r="B43" s="373"/>
      <c r="C43" s="464"/>
      <c r="D43" s="464"/>
      <c r="E43" s="382"/>
      <c r="F43" s="605" t="s">
        <v>96</v>
      </c>
      <c r="G43" s="606"/>
      <c r="H43" s="606"/>
      <c r="I43" s="606" t="s">
        <v>86</v>
      </c>
      <c r="J43" s="587"/>
      <c r="K43" s="470"/>
      <c r="L43" s="607" t="s">
        <v>87</v>
      </c>
      <c r="M43" s="605"/>
      <c r="N43" s="605" t="s">
        <v>88</v>
      </c>
      <c r="O43" s="464"/>
      <c r="P43" s="464"/>
      <c r="Q43" s="464"/>
      <c r="R43" s="464"/>
      <c r="S43" s="464"/>
      <c r="T43" s="464"/>
      <c r="U43" s="464"/>
      <c r="V43" s="464"/>
    </row>
    <row r="44" spans="1:22" s="544" customFormat="1" x14ac:dyDescent="0.35">
      <c r="A44" s="483"/>
      <c r="B44" s="373"/>
      <c r="C44" s="464"/>
      <c r="D44" s="464"/>
      <c r="E44" s="604" t="s">
        <v>352</v>
      </c>
      <c r="F44" s="462" t="s">
        <v>351</v>
      </c>
      <c r="G44" s="370" t="s">
        <v>79</v>
      </c>
      <c r="H44" s="604" t="s">
        <v>352</v>
      </c>
      <c r="I44" s="462" t="s">
        <v>351</v>
      </c>
      <c r="J44" s="370" t="s">
        <v>79</v>
      </c>
      <c r="K44" s="604" t="s">
        <v>352</v>
      </c>
      <c r="L44" s="462" t="s">
        <v>351</v>
      </c>
      <c r="M44" s="370" t="s">
        <v>79</v>
      </c>
      <c r="N44" s="604" t="s">
        <v>352</v>
      </c>
      <c r="O44" s="462" t="s">
        <v>351</v>
      </c>
      <c r="P44" s="370" t="s">
        <v>79</v>
      </c>
      <c r="Q44" s="464"/>
      <c r="R44" s="464"/>
      <c r="S44" s="464"/>
      <c r="T44" s="464"/>
      <c r="U44" s="464"/>
      <c r="V44" s="464"/>
    </row>
    <row r="45" spans="1:22" s="544" customFormat="1" x14ac:dyDescent="0.35">
      <c r="A45" s="483"/>
      <c r="B45" s="464">
        <v>1</v>
      </c>
      <c r="C45" s="464" t="s">
        <v>372</v>
      </c>
      <c r="D45" s="464"/>
      <c r="E45" s="382">
        <v>45.83</v>
      </c>
      <c r="F45" s="455">
        <f>G45/E45</f>
        <v>58754.265764782896</v>
      </c>
      <c r="G45" s="600">
        <v>2692708</v>
      </c>
      <c r="H45" s="382">
        <v>45.83</v>
      </c>
      <c r="I45" s="455">
        <f>J45/H45</f>
        <v>58754.265764782896</v>
      </c>
      <c r="J45" s="600">
        <v>2692708</v>
      </c>
      <c r="K45" s="382">
        <v>45.83</v>
      </c>
      <c r="L45" s="455">
        <f>M45/K45</f>
        <v>58754.265764782896</v>
      </c>
      <c r="M45" s="600">
        <v>2692708</v>
      </c>
      <c r="N45" s="382">
        <v>45.83</v>
      </c>
      <c r="O45" s="455">
        <f>P45/N45</f>
        <v>58754.265764782896</v>
      </c>
      <c r="P45" s="600">
        <v>2692708</v>
      </c>
      <c r="Q45" s="464"/>
      <c r="R45" s="464"/>
      <c r="S45" s="464"/>
      <c r="T45" s="464"/>
      <c r="U45" s="464"/>
      <c r="V45" s="464"/>
    </row>
    <row r="46" spans="1:22" s="544" customFormat="1" x14ac:dyDescent="0.35">
      <c r="A46" s="483"/>
      <c r="B46" s="464">
        <v>2</v>
      </c>
      <c r="C46" s="464" t="s">
        <v>346</v>
      </c>
      <c r="D46" s="464"/>
      <c r="E46" s="382">
        <v>4</v>
      </c>
      <c r="G46" s="600">
        <v>422000</v>
      </c>
      <c r="H46" s="382">
        <v>4</v>
      </c>
      <c r="J46" s="600">
        <v>422000</v>
      </c>
      <c r="K46" s="382">
        <v>4</v>
      </c>
      <c r="M46" s="600">
        <v>422000</v>
      </c>
      <c r="N46" s="382">
        <v>4</v>
      </c>
      <c r="P46" s="600">
        <v>422000</v>
      </c>
      <c r="Q46" s="464"/>
      <c r="R46" s="464"/>
      <c r="S46" s="464"/>
      <c r="T46" s="464"/>
      <c r="U46" s="464"/>
      <c r="V46" s="464"/>
    </row>
    <row r="47" spans="1:22" s="544" customFormat="1" x14ac:dyDescent="0.35">
      <c r="A47" s="483"/>
      <c r="B47" s="464">
        <v>3</v>
      </c>
      <c r="C47" s="464" t="s">
        <v>347</v>
      </c>
      <c r="D47" s="464"/>
      <c r="E47" s="382"/>
      <c r="G47" s="600">
        <v>7350</v>
      </c>
      <c r="H47" s="383"/>
      <c r="I47" s="383"/>
      <c r="J47" s="455">
        <v>73500</v>
      </c>
      <c r="K47" s="382"/>
      <c r="M47" s="600">
        <f>J47*5</f>
        <v>367500</v>
      </c>
      <c r="N47" s="382"/>
      <c r="P47" s="600">
        <f>M47*2</f>
        <v>735000</v>
      </c>
      <c r="Q47" s="464"/>
      <c r="R47" s="464"/>
      <c r="S47" s="464"/>
      <c r="T47" s="464"/>
      <c r="U47" s="464"/>
      <c r="V47" s="464"/>
    </row>
    <row r="48" spans="1:22" s="544" customFormat="1" x14ac:dyDescent="0.35">
      <c r="A48" s="483"/>
      <c r="B48" s="464">
        <v>4</v>
      </c>
      <c r="C48" s="464" t="s">
        <v>348</v>
      </c>
      <c r="D48" s="464"/>
      <c r="E48" s="382">
        <v>0.37</v>
      </c>
      <c r="F48" s="455">
        <v>70485</v>
      </c>
      <c r="G48" s="600">
        <f>E48*F48</f>
        <v>26079.45</v>
      </c>
      <c r="H48" s="608">
        <v>3.666666666666667</v>
      </c>
      <c r="I48" s="455">
        <v>70485</v>
      </c>
      <c r="J48" s="455">
        <f>H48*I48</f>
        <v>258445.00000000003</v>
      </c>
      <c r="K48" s="610">
        <f>H48*5</f>
        <v>18.333333333333336</v>
      </c>
      <c r="L48" s="455">
        <v>70485</v>
      </c>
      <c r="M48" s="609">
        <f>K48*L48</f>
        <v>1292225.0000000002</v>
      </c>
      <c r="N48" s="611">
        <f>K48*2</f>
        <v>36.666666666666671</v>
      </c>
      <c r="O48" s="609">
        <v>70485</v>
      </c>
      <c r="P48" s="609">
        <f>N48*O48</f>
        <v>2584450.0000000005</v>
      </c>
      <c r="Q48" s="464"/>
      <c r="R48" s="464"/>
      <c r="S48" s="464"/>
      <c r="T48" s="464"/>
      <c r="U48" s="464"/>
      <c r="V48" s="464"/>
    </row>
    <row r="49" spans="1:22" s="544" customFormat="1" x14ac:dyDescent="0.35">
      <c r="A49" s="483"/>
      <c r="B49" s="464">
        <v>5</v>
      </c>
      <c r="C49" s="464" t="s">
        <v>349</v>
      </c>
      <c r="D49" s="464"/>
      <c r="E49" s="382">
        <v>0.24</v>
      </c>
      <c r="F49" s="455">
        <v>76610</v>
      </c>
      <c r="G49" s="600">
        <f t="shared" ref="G49:G50" si="3">E49*F49</f>
        <v>18386.399999999998</v>
      </c>
      <c r="H49" s="608">
        <v>2.4444444444444446</v>
      </c>
      <c r="I49" s="455">
        <v>76610</v>
      </c>
      <c r="J49" s="455">
        <f t="shared" ref="J49:J50" si="4">H49*I49</f>
        <v>187268.88888888891</v>
      </c>
      <c r="K49" s="610">
        <f t="shared" ref="K49:K50" si="5">H49*5</f>
        <v>12.222222222222223</v>
      </c>
      <c r="L49" s="455">
        <v>76610</v>
      </c>
      <c r="M49" s="609">
        <f t="shared" ref="M49:M50" si="6">K49*L49</f>
        <v>936344.4444444445</v>
      </c>
      <c r="N49" s="611">
        <f t="shared" ref="N49:N50" si="7">K49*2</f>
        <v>24.444444444444446</v>
      </c>
      <c r="O49" s="609">
        <v>76610</v>
      </c>
      <c r="P49" s="609">
        <f t="shared" ref="P49:P50" si="8">N49*O49</f>
        <v>1872688.888888889</v>
      </c>
      <c r="Q49" s="464"/>
      <c r="R49" s="464"/>
      <c r="S49" s="464"/>
      <c r="T49" s="464"/>
      <c r="U49" s="464"/>
      <c r="V49" s="464"/>
    </row>
    <row r="50" spans="1:22" s="544" customFormat="1" x14ac:dyDescent="0.35">
      <c r="A50" s="483"/>
      <c r="B50" s="464">
        <v>6</v>
      </c>
      <c r="C50" s="464" t="s">
        <v>350</v>
      </c>
      <c r="D50" s="464"/>
      <c r="E50" s="382">
        <v>0.37</v>
      </c>
      <c r="F50" s="455">
        <v>73810</v>
      </c>
      <c r="G50" s="600">
        <f t="shared" si="3"/>
        <v>27309.7</v>
      </c>
      <c r="H50" s="608">
        <v>3.666666666666667</v>
      </c>
      <c r="I50" s="455">
        <v>73810</v>
      </c>
      <c r="J50" s="455">
        <f t="shared" si="4"/>
        <v>270636.66666666669</v>
      </c>
      <c r="K50" s="610">
        <f t="shared" si="5"/>
        <v>18.333333333333336</v>
      </c>
      <c r="L50" s="455">
        <v>73810</v>
      </c>
      <c r="M50" s="609">
        <f t="shared" si="6"/>
        <v>1353183.3333333335</v>
      </c>
      <c r="N50" s="611">
        <f t="shared" si="7"/>
        <v>36.666666666666671</v>
      </c>
      <c r="O50" s="609">
        <v>73810</v>
      </c>
      <c r="P50" s="609">
        <f t="shared" si="8"/>
        <v>2706366.666666667</v>
      </c>
      <c r="Q50" s="464"/>
      <c r="R50" s="464"/>
      <c r="S50" s="464"/>
      <c r="T50" s="464"/>
      <c r="U50" s="464"/>
      <c r="V50" s="464"/>
    </row>
    <row r="51" spans="1:22" s="544" customFormat="1" x14ac:dyDescent="0.35">
      <c r="A51" s="483"/>
      <c r="B51" s="373"/>
      <c r="C51" s="464"/>
      <c r="D51" s="464"/>
      <c r="E51" s="382"/>
      <c r="F51" s="370"/>
      <c r="G51" s="383"/>
      <c r="H51" s="383"/>
      <c r="I51" s="383"/>
      <c r="K51" s="479"/>
      <c r="L51" s="382"/>
      <c r="M51" s="464"/>
      <c r="N51" s="464"/>
      <c r="O51" s="464"/>
      <c r="P51" s="464"/>
      <c r="Q51" s="464"/>
      <c r="R51" s="464"/>
      <c r="S51" s="464"/>
      <c r="T51" s="464"/>
      <c r="U51" s="464"/>
      <c r="V51" s="464"/>
    </row>
    <row r="52" spans="1:22" s="544" customFormat="1" x14ac:dyDescent="0.35">
      <c r="A52" s="483"/>
      <c r="B52" s="362" t="s">
        <v>81</v>
      </c>
      <c r="C52" s="362"/>
      <c r="D52" s="362"/>
      <c r="E52" s="612">
        <f>SUM(E45:E50)</f>
        <v>50.809999999999995</v>
      </c>
      <c r="F52" s="612"/>
      <c r="G52" s="613">
        <f t="shared" ref="G52:P52" si="9">SUM(G45:G50)</f>
        <v>3193833.5500000003</v>
      </c>
      <c r="H52" s="613">
        <f t="shared" si="9"/>
        <v>59.60777777777777</v>
      </c>
      <c r="I52" s="613"/>
      <c r="J52" s="613">
        <f t="shared" si="9"/>
        <v>3904558.5555555555</v>
      </c>
      <c r="K52" s="614">
        <f t="shared" si="9"/>
        <v>98.718888888888898</v>
      </c>
      <c r="L52" s="613"/>
      <c r="M52" s="613">
        <f t="shared" si="9"/>
        <v>7063960.777777778</v>
      </c>
      <c r="N52" s="614">
        <f t="shared" si="9"/>
        <v>147.60777777777778</v>
      </c>
      <c r="O52" s="613"/>
      <c r="P52" s="613">
        <f t="shared" si="9"/>
        <v>11013213.555555556</v>
      </c>
      <c r="Q52" s="464"/>
      <c r="R52" s="464"/>
      <c r="S52" s="464"/>
      <c r="T52" s="464"/>
      <c r="U52" s="464"/>
      <c r="V52" s="464"/>
    </row>
    <row r="53" spans="1:22" s="544" customFormat="1" x14ac:dyDescent="0.35">
      <c r="A53" s="483"/>
      <c r="B53" s="373"/>
      <c r="C53" s="464"/>
      <c r="D53" s="464"/>
      <c r="E53" s="382"/>
      <c r="F53" s="370"/>
      <c r="G53" s="383"/>
      <c r="H53" s="383"/>
      <c r="I53" s="383"/>
      <c r="K53" s="479"/>
      <c r="L53" s="382"/>
      <c r="M53" s="464"/>
      <c r="N53" s="464"/>
      <c r="O53" s="464"/>
      <c r="P53" s="464"/>
      <c r="Q53" s="464"/>
      <c r="R53" s="464"/>
      <c r="S53" s="464"/>
      <c r="T53" s="464"/>
      <c r="U53" s="464"/>
      <c r="V53" s="464"/>
    </row>
    <row r="54" spans="1:22" x14ac:dyDescent="0.35">
      <c r="A54" s="412"/>
      <c r="B54" s="412"/>
      <c r="C54" s="381"/>
      <c r="D54" s="381"/>
      <c r="E54" s="480"/>
      <c r="F54" s="480"/>
      <c r="G54" s="480"/>
      <c r="H54" s="480"/>
      <c r="I54" s="480"/>
      <c r="J54" s="480"/>
      <c r="K54" s="480"/>
      <c r="L54" s="466"/>
      <c r="M54" s="379"/>
      <c r="N54" s="379"/>
      <c r="O54" s="379"/>
      <c r="P54" s="379"/>
      <c r="Q54" s="379"/>
      <c r="R54" s="379"/>
      <c r="S54" s="379"/>
      <c r="T54" s="379"/>
      <c r="U54" s="379"/>
      <c r="V54" s="412"/>
    </row>
    <row r="55" spans="1:22" s="12" customFormat="1" x14ac:dyDescent="0.35">
      <c r="A55" s="412"/>
      <c r="B55" s="412"/>
      <c r="C55" s="412"/>
      <c r="D55" s="412"/>
      <c r="E55" s="382"/>
      <c r="J55" s="382"/>
      <c r="K55" s="382"/>
      <c r="L55" s="361"/>
      <c r="M55" s="412"/>
      <c r="N55" s="412"/>
      <c r="O55" s="412"/>
      <c r="P55" s="412"/>
      <c r="Q55" s="412"/>
      <c r="R55" s="412"/>
      <c r="S55" s="412"/>
      <c r="T55" s="412"/>
      <c r="U55" s="412"/>
      <c r="V55" s="412"/>
    </row>
    <row r="56" spans="1:22" x14ac:dyDescent="0.35">
      <c r="A56" s="483" t="s">
        <v>76</v>
      </c>
      <c r="B56" s="373" t="s">
        <v>252</v>
      </c>
      <c r="C56" s="412"/>
      <c r="D56" s="412"/>
      <c r="E56" s="382"/>
      <c r="K56" s="382"/>
      <c r="L56" s="382"/>
      <c r="M56" s="412"/>
      <c r="N56" s="412"/>
      <c r="O56" s="412"/>
      <c r="P56" s="412"/>
      <c r="Q56" s="412"/>
      <c r="R56" s="412"/>
      <c r="S56" s="412"/>
      <c r="T56" s="412"/>
      <c r="U56" s="363"/>
      <c r="V56" s="412"/>
    </row>
    <row r="57" spans="1:22" s="544" customFormat="1" x14ac:dyDescent="0.35">
      <c r="A57" s="483"/>
      <c r="B57" s="373"/>
      <c r="C57" s="464"/>
      <c r="D57" s="464"/>
      <c r="E57" s="382"/>
      <c r="F57" s="370"/>
      <c r="G57" s="383"/>
      <c r="H57" s="383"/>
      <c r="I57" s="383"/>
      <c r="K57" s="382"/>
      <c r="L57" s="382"/>
      <c r="M57" s="464"/>
      <c r="N57" s="464"/>
      <c r="O57" s="464"/>
      <c r="P57" s="464"/>
      <c r="Q57" s="464"/>
      <c r="R57" s="464"/>
      <c r="S57" s="464"/>
      <c r="T57" s="464"/>
      <c r="U57" s="363"/>
      <c r="V57" s="464"/>
    </row>
    <row r="58" spans="1:22" s="544" customFormat="1" x14ac:dyDescent="0.35">
      <c r="A58" s="483"/>
      <c r="B58" s="464" t="s">
        <v>334</v>
      </c>
      <c r="C58" s="464"/>
      <c r="D58" s="464"/>
      <c r="E58" s="382"/>
      <c r="F58" s="370"/>
      <c r="G58" s="383"/>
      <c r="H58" s="383"/>
      <c r="I58" s="383"/>
      <c r="K58" s="382"/>
      <c r="L58" s="382"/>
      <c r="M58" s="464"/>
      <c r="N58" s="464"/>
      <c r="O58" s="464"/>
      <c r="P58" s="464"/>
      <c r="Q58" s="464"/>
      <c r="R58" s="464"/>
      <c r="S58" s="464"/>
      <c r="T58" s="464"/>
      <c r="U58" s="363"/>
      <c r="V58" s="464"/>
    </row>
    <row r="59" spans="1:22" s="544" customFormat="1" x14ac:dyDescent="0.35">
      <c r="A59" s="483"/>
      <c r="B59" s="464" t="s">
        <v>353</v>
      </c>
      <c r="C59" s="464"/>
      <c r="D59" s="464"/>
      <c r="E59" s="382"/>
      <c r="F59" s="370"/>
      <c r="G59" s="383"/>
      <c r="H59" s="383"/>
      <c r="I59" s="383"/>
      <c r="K59" s="382"/>
      <c r="L59" s="382"/>
      <c r="M59" s="464"/>
      <c r="N59" s="464"/>
      <c r="O59" s="464"/>
      <c r="P59" s="464"/>
      <c r="Q59" s="464"/>
      <c r="R59" s="464"/>
      <c r="S59" s="464"/>
      <c r="T59" s="464"/>
      <c r="U59" s="363"/>
      <c r="V59" s="464"/>
    </row>
    <row r="60" spans="1:22" s="544" customFormat="1" x14ac:dyDescent="0.35">
      <c r="A60" s="483"/>
      <c r="B60" s="464" t="s">
        <v>354</v>
      </c>
      <c r="C60" s="464"/>
      <c r="D60" s="464"/>
      <c r="E60" s="382"/>
      <c r="F60" s="370"/>
      <c r="G60" s="383"/>
      <c r="H60" s="383"/>
      <c r="I60" s="383"/>
      <c r="K60" s="382"/>
      <c r="L60" s="382"/>
      <c r="M60" s="464"/>
      <c r="N60" s="464"/>
      <c r="O60" s="464"/>
      <c r="P60" s="464"/>
      <c r="Q60" s="464"/>
      <c r="R60" s="464"/>
      <c r="S60" s="464"/>
      <c r="T60" s="464"/>
      <c r="U60" s="363"/>
      <c r="V60" s="464"/>
    </row>
    <row r="61" spans="1:22" s="544" customFormat="1" x14ac:dyDescent="0.35">
      <c r="A61" s="483"/>
      <c r="B61" s="464" t="s">
        <v>355</v>
      </c>
      <c r="C61" s="464"/>
      <c r="D61" s="464"/>
      <c r="E61" s="382"/>
      <c r="F61" s="370"/>
      <c r="G61" s="383"/>
      <c r="H61" s="383"/>
      <c r="I61" s="383"/>
      <c r="K61" s="382"/>
      <c r="L61" s="382"/>
      <c r="M61" s="464"/>
      <c r="N61" s="464"/>
      <c r="O61" s="464"/>
      <c r="P61" s="464"/>
      <c r="Q61" s="464"/>
      <c r="R61" s="464"/>
      <c r="S61" s="464"/>
      <c r="T61" s="464"/>
      <c r="U61" s="363"/>
      <c r="V61" s="464"/>
    </row>
    <row r="62" spans="1:22" s="544" customFormat="1" x14ac:dyDescent="0.35">
      <c r="A62" s="483"/>
      <c r="B62" s="464"/>
      <c r="C62" s="464"/>
      <c r="D62" s="464"/>
      <c r="E62" s="382"/>
      <c r="F62" s="370"/>
      <c r="G62" s="383"/>
      <c r="H62" s="383"/>
      <c r="I62" s="383"/>
      <c r="K62" s="382"/>
      <c r="L62" s="382"/>
      <c r="M62" s="464"/>
      <c r="N62" s="464"/>
      <c r="O62" s="464"/>
      <c r="P62" s="464"/>
      <c r="Q62" s="464"/>
      <c r="R62" s="464"/>
      <c r="S62" s="464"/>
      <c r="T62" s="464"/>
      <c r="U62" s="363"/>
      <c r="V62" s="464"/>
    </row>
    <row r="63" spans="1:22" s="544" customFormat="1" x14ac:dyDescent="0.35">
      <c r="A63" s="483"/>
      <c r="B63" s="464" t="s">
        <v>356</v>
      </c>
      <c r="C63" s="464"/>
      <c r="D63" s="464"/>
      <c r="E63" s="382"/>
      <c r="F63" s="370"/>
      <c r="G63" s="383"/>
      <c r="H63" s="383"/>
      <c r="I63" s="383"/>
      <c r="K63" s="382"/>
      <c r="L63" s="382"/>
      <c r="M63" s="464"/>
      <c r="N63" s="464"/>
      <c r="O63" s="464"/>
      <c r="P63" s="464"/>
      <c r="Q63" s="464"/>
      <c r="R63" s="464"/>
      <c r="S63" s="464"/>
      <c r="T63" s="464"/>
      <c r="U63" s="363"/>
      <c r="V63" s="464"/>
    </row>
    <row r="64" spans="1:22" s="544" customFormat="1" x14ac:dyDescent="0.35">
      <c r="A64" s="483"/>
      <c r="B64" s="464"/>
      <c r="C64" s="464" t="s">
        <v>357</v>
      </c>
      <c r="D64" s="609">
        <v>66350</v>
      </c>
      <c r="E64" s="382"/>
      <c r="F64" s="370"/>
      <c r="G64" s="383"/>
      <c r="H64" s="383"/>
      <c r="I64" s="383"/>
      <c r="K64" s="382"/>
      <c r="L64" s="382"/>
      <c r="M64" s="464"/>
      <c r="N64" s="464"/>
      <c r="O64" s="464"/>
      <c r="P64" s="464"/>
      <c r="Q64" s="464"/>
      <c r="R64" s="464"/>
      <c r="S64" s="464"/>
      <c r="T64" s="464"/>
      <c r="U64" s="363"/>
      <c r="V64" s="464"/>
    </row>
    <row r="65" spans="1:22" s="544" customFormat="1" x14ac:dyDescent="0.35">
      <c r="A65" s="483"/>
      <c r="B65" s="464"/>
      <c r="C65" s="464" t="s">
        <v>358</v>
      </c>
      <c r="D65" s="609">
        <v>75625</v>
      </c>
      <c r="E65" s="382"/>
      <c r="F65" s="370"/>
      <c r="G65" s="383"/>
      <c r="H65" s="383"/>
      <c r="I65" s="383"/>
      <c r="K65" s="382"/>
      <c r="L65" s="382"/>
      <c r="M65" s="464"/>
      <c r="N65" s="464"/>
      <c r="O65" s="464"/>
      <c r="P65" s="464"/>
      <c r="Q65" s="464"/>
      <c r="R65" s="464"/>
      <c r="S65" s="464"/>
      <c r="T65" s="464"/>
      <c r="U65" s="363"/>
      <c r="V65" s="464"/>
    </row>
    <row r="66" spans="1:22" s="544" customFormat="1" x14ac:dyDescent="0.35">
      <c r="A66" s="483"/>
      <c r="B66" s="464"/>
      <c r="C66" s="464" t="s">
        <v>359</v>
      </c>
      <c r="D66" s="609">
        <v>101275</v>
      </c>
      <c r="E66" s="382"/>
      <c r="F66" s="370"/>
      <c r="G66" s="383"/>
      <c r="H66" s="383"/>
      <c r="I66" s="383"/>
      <c r="K66" s="382"/>
      <c r="L66" s="382"/>
      <c r="M66" s="464"/>
      <c r="N66" s="464"/>
      <c r="O66" s="464"/>
      <c r="P66" s="464"/>
      <c r="Q66" s="464"/>
      <c r="R66" s="464"/>
      <c r="S66" s="464"/>
      <c r="T66" s="464"/>
      <c r="U66" s="363"/>
      <c r="V66" s="464"/>
    </row>
    <row r="67" spans="1:22" s="544" customFormat="1" x14ac:dyDescent="0.35">
      <c r="A67" s="483"/>
      <c r="B67" s="464"/>
      <c r="C67" s="464" t="s">
        <v>361</v>
      </c>
      <c r="D67" s="609">
        <v>101075</v>
      </c>
      <c r="E67" s="382"/>
      <c r="F67" s="370"/>
      <c r="G67" s="383"/>
      <c r="H67" s="383"/>
      <c r="I67" s="383"/>
      <c r="K67" s="382"/>
      <c r="L67" s="382"/>
      <c r="M67" s="464"/>
      <c r="N67" s="464"/>
      <c r="O67" s="464"/>
      <c r="P67" s="464"/>
      <c r="Q67" s="464"/>
      <c r="R67" s="464"/>
      <c r="S67" s="464"/>
      <c r="T67" s="464"/>
      <c r="U67" s="363"/>
      <c r="V67" s="464"/>
    </row>
    <row r="68" spans="1:22" s="544" customFormat="1" x14ac:dyDescent="0.35">
      <c r="A68" s="483"/>
      <c r="B68" s="464"/>
      <c r="C68" s="464" t="s">
        <v>360</v>
      </c>
      <c r="D68" s="609">
        <v>87855</v>
      </c>
      <c r="E68" s="382"/>
      <c r="F68" s="605" t="s">
        <v>96</v>
      </c>
      <c r="G68" s="606"/>
      <c r="H68" s="382"/>
      <c r="I68" s="605" t="s">
        <v>369</v>
      </c>
      <c r="J68" s="606"/>
      <c r="K68" s="382"/>
      <c r="L68" s="605" t="s">
        <v>370</v>
      </c>
      <c r="M68" s="606"/>
      <c r="N68" s="382"/>
      <c r="O68" s="605" t="s">
        <v>371</v>
      </c>
      <c r="P68" s="606"/>
      <c r="Q68" s="464"/>
      <c r="R68" s="464"/>
      <c r="S68" s="464"/>
      <c r="T68" s="464"/>
      <c r="U68" s="363"/>
      <c r="V68" s="464"/>
    </row>
    <row r="69" spans="1:22" s="544" customFormat="1" x14ac:dyDescent="0.35">
      <c r="A69" s="483"/>
      <c r="B69" s="464"/>
      <c r="C69" s="464"/>
      <c r="D69" s="464"/>
      <c r="E69" s="604" t="s">
        <v>352</v>
      </c>
      <c r="F69" s="462" t="s">
        <v>351</v>
      </c>
      <c r="G69" s="370" t="s">
        <v>79</v>
      </c>
      <c r="H69" s="604" t="s">
        <v>352</v>
      </c>
      <c r="I69" s="462" t="s">
        <v>351</v>
      </c>
      <c r="J69" s="370" t="s">
        <v>79</v>
      </c>
      <c r="K69" s="604" t="s">
        <v>352</v>
      </c>
      <c r="L69" s="462" t="s">
        <v>351</v>
      </c>
      <c r="M69" s="370" t="s">
        <v>79</v>
      </c>
      <c r="N69" s="604" t="s">
        <v>352</v>
      </c>
      <c r="O69" s="462" t="s">
        <v>351</v>
      </c>
      <c r="P69" s="370" t="s">
        <v>79</v>
      </c>
      <c r="Q69" s="464"/>
      <c r="R69" s="464"/>
      <c r="S69" s="464"/>
      <c r="T69" s="464"/>
      <c r="U69" s="363"/>
      <c r="V69" s="464"/>
    </row>
    <row r="70" spans="1:22" s="544" customFormat="1" x14ac:dyDescent="0.35">
      <c r="A70" s="483"/>
      <c r="B70" s="464" t="s">
        <v>362</v>
      </c>
      <c r="C70" s="464"/>
      <c r="D70" s="464"/>
      <c r="E70" s="599"/>
      <c r="F70" s="599"/>
      <c r="G70" s="599"/>
      <c r="H70" s="599"/>
      <c r="I70" s="383"/>
      <c r="K70" s="382"/>
      <c r="L70" s="382"/>
      <c r="M70" s="464"/>
      <c r="N70" s="464"/>
      <c r="O70" s="464"/>
      <c r="P70" s="464"/>
      <c r="Q70" s="464"/>
      <c r="R70" s="464"/>
      <c r="S70" s="464"/>
      <c r="T70" s="464"/>
      <c r="U70" s="363"/>
      <c r="V70" s="464"/>
    </row>
    <row r="71" spans="1:22" s="544" customFormat="1" x14ac:dyDescent="0.35">
      <c r="A71" s="483"/>
      <c r="B71" s="464"/>
      <c r="C71" s="464" t="s">
        <v>363</v>
      </c>
      <c r="D71" s="464"/>
      <c r="E71" s="382">
        <v>11</v>
      </c>
      <c r="F71" s="600">
        <v>66350</v>
      </c>
      <c r="G71" s="600">
        <f>E71*F71</f>
        <v>729850</v>
      </c>
      <c r="H71" s="382">
        <v>11</v>
      </c>
      <c r="I71" s="600">
        <f>D64</f>
        <v>66350</v>
      </c>
      <c r="J71" s="600">
        <f>H71*I71</f>
        <v>729850</v>
      </c>
      <c r="K71" s="382">
        <v>11</v>
      </c>
      <c r="L71" s="600">
        <v>66350</v>
      </c>
      <c r="M71" s="600">
        <f>K71*L71</f>
        <v>729850</v>
      </c>
      <c r="N71" s="382">
        <v>11</v>
      </c>
      <c r="O71" s="600">
        <v>66350</v>
      </c>
      <c r="P71" s="600">
        <f>N71*O71</f>
        <v>729850</v>
      </c>
      <c r="Q71" s="464"/>
      <c r="R71" s="464"/>
      <c r="S71" s="464"/>
      <c r="T71" s="464"/>
      <c r="U71" s="363"/>
      <c r="V71" s="464"/>
    </row>
    <row r="72" spans="1:22" s="544" customFormat="1" x14ac:dyDescent="0.35">
      <c r="A72" s="483"/>
      <c r="B72" s="464"/>
      <c r="C72" s="464" t="s">
        <v>364</v>
      </c>
      <c r="D72" s="464"/>
      <c r="E72" s="382">
        <v>0.71</v>
      </c>
      <c r="F72" s="600">
        <v>75625</v>
      </c>
      <c r="G72" s="600">
        <f t="shared" ref="G72:G75" si="10">E72*F72</f>
        <v>53693.75</v>
      </c>
      <c r="H72" s="382">
        <v>3.4</v>
      </c>
      <c r="I72" s="600">
        <f>D65</f>
        <v>75625</v>
      </c>
      <c r="J72" s="600">
        <f t="shared" ref="J72:J77" si="11">H72*I72</f>
        <v>257125</v>
      </c>
      <c r="K72" s="382">
        <v>3.4</v>
      </c>
      <c r="L72" s="600">
        <v>75625</v>
      </c>
      <c r="M72" s="600">
        <f t="shared" ref="M72:M75" si="12">K72*L72</f>
        <v>257125</v>
      </c>
      <c r="N72" s="382">
        <v>3.4</v>
      </c>
      <c r="O72" s="600">
        <v>75625</v>
      </c>
      <c r="P72" s="600">
        <f t="shared" ref="P72:P75" si="13">N72*O72</f>
        <v>257125</v>
      </c>
      <c r="Q72" s="464"/>
      <c r="R72" s="464"/>
      <c r="S72" s="464"/>
      <c r="T72" s="464"/>
      <c r="U72" s="363"/>
      <c r="V72" s="464"/>
    </row>
    <row r="73" spans="1:22" s="544" customFormat="1" x14ac:dyDescent="0.35">
      <c r="A73" s="483"/>
      <c r="B73" s="464"/>
      <c r="C73" s="464" t="s">
        <v>365</v>
      </c>
      <c r="D73" s="464"/>
      <c r="E73" s="382">
        <v>2</v>
      </c>
      <c r="F73" s="600">
        <v>101275</v>
      </c>
      <c r="G73" s="600">
        <f t="shared" si="10"/>
        <v>202550</v>
      </c>
      <c r="H73" s="382">
        <v>2</v>
      </c>
      <c r="I73" s="600">
        <f>D66</f>
        <v>101275</v>
      </c>
      <c r="J73" s="600">
        <f t="shared" si="11"/>
        <v>202550</v>
      </c>
      <c r="K73" s="382">
        <v>2</v>
      </c>
      <c r="L73" s="600">
        <v>101275</v>
      </c>
      <c r="M73" s="600">
        <f t="shared" si="12"/>
        <v>202550</v>
      </c>
      <c r="N73" s="382">
        <v>2</v>
      </c>
      <c r="O73" s="600">
        <v>101275</v>
      </c>
      <c r="P73" s="600">
        <f t="shared" si="13"/>
        <v>202550</v>
      </c>
      <c r="Q73" s="464"/>
      <c r="R73" s="464"/>
      <c r="S73" s="464"/>
      <c r="T73" s="464"/>
      <c r="U73" s="363"/>
      <c r="V73" s="464"/>
    </row>
    <row r="74" spans="1:22" s="544" customFormat="1" x14ac:dyDescent="0.35">
      <c r="A74" s="483"/>
      <c r="B74" s="464"/>
      <c r="C74" s="464" t="s">
        <v>366</v>
      </c>
      <c r="D74" s="464"/>
      <c r="E74" s="382">
        <v>0.55000000000000004</v>
      </c>
      <c r="F74" s="600">
        <v>101075</v>
      </c>
      <c r="G74" s="600">
        <f t="shared" si="10"/>
        <v>55591.250000000007</v>
      </c>
      <c r="H74" s="382">
        <v>5.5</v>
      </c>
      <c r="I74" s="600">
        <f>D67</f>
        <v>101075</v>
      </c>
      <c r="J74" s="600">
        <f t="shared" si="11"/>
        <v>555912.5</v>
      </c>
      <c r="K74" s="382">
        <f>H74*5</f>
        <v>27.5</v>
      </c>
      <c r="L74" s="600">
        <v>101075</v>
      </c>
      <c r="M74" s="600">
        <f t="shared" si="12"/>
        <v>2779562.5</v>
      </c>
      <c r="N74" s="382">
        <f>K74*2</f>
        <v>55</v>
      </c>
      <c r="O74" s="600">
        <v>101075</v>
      </c>
      <c r="P74" s="600">
        <f t="shared" si="13"/>
        <v>5559125</v>
      </c>
      <c r="Q74" s="464"/>
      <c r="R74" s="464"/>
      <c r="S74" s="464"/>
      <c r="T74" s="464"/>
      <c r="U74" s="363"/>
      <c r="V74" s="464"/>
    </row>
    <row r="75" spans="1:22" s="544" customFormat="1" x14ac:dyDescent="0.35">
      <c r="A75" s="483"/>
      <c r="B75" s="464"/>
      <c r="C75" s="464" t="s">
        <v>367</v>
      </c>
      <c r="D75" s="464"/>
      <c r="E75" s="382">
        <v>3.1</v>
      </c>
      <c r="F75" s="600">
        <v>101075</v>
      </c>
      <c r="G75" s="600">
        <f t="shared" si="10"/>
        <v>313332.5</v>
      </c>
      <c r="H75" s="382">
        <v>3.1</v>
      </c>
      <c r="I75" s="600">
        <f>D67</f>
        <v>101075</v>
      </c>
      <c r="J75" s="600">
        <f t="shared" si="11"/>
        <v>313332.5</v>
      </c>
      <c r="K75" s="382">
        <v>3.1</v>
      </c>
      <c r="L75" s="600">
        <v>101075</v>
      </c>
      <c r="M75" s="600">
        <f t="shared" si="12"/>
        <v>313332.5</v>
      </c>
      <c r="N75" s="382">
        <f>K75</f>
        <v>3.1</v>
      </c>
      <c r="O75" s="600">
        <v>101075</v>
      </c>
      <c r="P75" s="600">
        <f t="shared" si="13"/>
        <v>313332.5</v>
      </c>
      <c r="Q75" s="464"/>
      <c r="R75" s="464"/>
      <c r="S75" s="464"/>
      <c r="T75" s="464"/>
      <c r="U75" s="363"/>
      <c r="V75" s="464"/>
    </row>
    <row r="76" spans="1:22" s="544" customFormat="1" x14ac:dyDescent="0.35">
      <c r="A76" s="483"/>
      <c r="B76" s="464"/>
      <c r="C76" s="464" t="s">
        <v>368</v>
      </c>
      <c r="D76" s="464"/>
      <c r="E76" s="382"/>
      <c r="F76" s="600"/>
      <c r="G76" s="600"/>
      <c r="H76" s="382"/>
      <c r="I76" s="600"/>
      <c r="J76" s="600"/>
      <c r="K76" s="382"/>
      <c r="L76" s="600"/>
      <c r="M76" s="600"/>
      <c r="N76" s="382"/>
      <c r="O76" s="600"/>
      <c r="P76" s="600"/>
      <c r="Q76" s="464"/>
      <c r="R76" s="464"/>
      <c r="S76" s="464"/>
      <c r="T76" s="464"/>
      <c r="U76" s="363"/>
      <c r="V76" s="464"/>
    </row>
    <row r="77" spans="1:22" s="544" customFormat="1" x14ac:dyDescent="0.35">
      <c r="A77" s="483"/>
      <c r="B77" s="464"/>
      <c r="C77" s="464" t="s">
        <v>138</v>
      </c>
      <c r="D77" s="360">
        <v>0.1</v>
      </c>
      <c r="E77" s="382">
        <f>SUM(E71:E76)*D77</f>
        <v>1.7360000000000004</v>
      </c>
      <c r="F77" s="600">
        <v>87855</v>
      </c>
      <c r="G77" s="600">
        <f t="shared" ref="G77" si="14">E77*F77</f>
        <v>152516.28000000003</v>
      </c>
      <c r="H77" s="382">
        <v>2.52</v>
      </c>
      <c r="I77" s="600">
        <f>D68</f>
        <v>87855</v>
      </c>
      <c r="J77" s="600">
        <f t="shared" si="11"/>
        <v>221394.6</v>
      </c>
      <c r="K77" s="382">
        <v>2.52</v>
      </c>
      <c r="L77" s="600">
        <v>87855</v>
      </c>
      <c r="M77" s="600">
        <f t="shared" ref="M77" si="15">K77*L77</f>
        <v>221394.6</v>
      </c>
      <c r="N77" s="382">
        <v>2.52</v>
      </c>
      <c r="O77" s="600">
        <v>87855</v>
      </c>
      <c r="P77" s="600">
        <f t="shared" ref="P77" si="16">N77*O77</f>
        <v>221394.6</v>
      </c>
      <c r="Q77" s="464"/>
      <c r="R77" s="464"/>
      <c r="S77" s="464"/>
      <c r="T77" s="464"/>
      <c r="U77" s="363"/>
      <c r="V77" s="464"/>
    </row>
    <row r="78" spans="1:22" s="544" customFormat="1" x14ac:dyDescent="0.35">
      <c r="A78" s="483"/>
      <c r="B78" s="464"/>
      <c r="C78" s="464"/>
      <c r="D78" s="464"/>
      <c r="E78" s="382"/>
      <c r="F78" s="370"/>
      <c r="G78" s="600"/>
      <c r="H78" s="382"/>
      <c r="I78" s="370"/>
      <c r="J78" s="600"/>
      <c r="K78" s="382"/>
      <c r="L78" s="370"/>
      <c r="M78" s="600"/>
      <c r="N78" s="464"/>
      <c r="O78" s="464"/>
      <c r="P78" s="464"/>
      <c r="Q78" s="464"/>
      <c r="R78" s="464"/>
      <c r="S78" s="464"/>
      <c r="T78" s="464"/>
      <c r="U78" s="363"/>
      <c r="V78" s="464"/>
    </row>
    <row r="79" spans="1:22" s="544" customFormat="1" x14ac:dyDescent="0.35">
      <c r="A79" s="483"/>
      <c r="B79" s="362" t="s">
        <v>81</v>
      </c>
      <c r="C79" s="362"/>
      <c r="D79" s="362"/>
      <c r="E79" s="615">
        <f>SUM(E71:E77)</f>
        <v>19.096000000000004</v>
      </c>
      <c r="F79" s="616"/>
      <c r="G79" s="617">
        <f>SUM(G71:G77)</f>
        <v>1507533.78</v>
      </c>
      <c r="H79" s="615">
        <f>SUM(H71:H77)</f>
        <v>27.52</v>
      </c>
      <c r="I79" s="616"/>
      <c r="J79" s="617">
        <f>SUM(J71:J77)</f>
        <v>2280164.6</v>
      </c>
      <c r="K79" s="615">
        <f>SUM(K71:K77)</f>
        <v>49.52</v>
      </c>
      <c r="L79" s="616"/>
      <c r="M79" s="617">
        <f>SUM(M71:M77)</f>
        <v>4503814.5999999996</v>
      </c>
      <c r="N79" s="618">
        <f t="shared" ref="N79:P79" si="17">SUM(N71:N77)</f>
        <v>77.02</v>
      </c>
      <c r="O79" s="617"/>
      <c r="P79" s="617">
        <f t="shared" si="17"/>
        <v>7283377.0999999996</v>
      </c>
      <c r="Q79" s="464"/>
      <c r="R79" s="464"/>
      <c r="S79" s="464"/>
      <c r="T79" s="464"/>
      <c r="U79" s="363"/>
      <c r="V79" s="464"/>
    </row>
    <row r="80" spans="1:22" s="544" customFormat="1" x14ac:dyDescent="0.35">
      <c r="A80" s="483"/>
      <c r="B80" s="464"/>
      <c r="C80" s="464"/>
      <c r="D80" s="464"/>
      <c r="E80" s="382"/>
      <c r="F80" s="370"/>
      <c r="G80" s="383"/>
      <c r="H80" s="383"/>
      <c r="I80" s="383"/>
      <c r="K80" s="382"/>
      <c r="L80" s="382"/>
      <c r="M80" s="464"/>
      <c r="N80" s="464"/>
      <c r="O80" s="464"/>
      <c r="P80" s="464"/>
      <c r="Q80" s="464"/>
      <c r="R80" s="464"/>
      <c r="S80" s="464"/>
      <c r="T80" s="464"/>
      <c r="U80" s="363"/>
      <c r="V80" s="464"/>
    </row>
    <row r="81" spans="1:22" x14ac:dyDescent="0.35">
      <c r="A81" s="412"/>
      <c r="B81" s="412"/>
      <c r="C81" s="412"/>
      <c r="D81" s="412"/>
      <c r="E81" s="412"/>
      <c r="F81" s="544"/>
      <c r="G81" s="104" t="s">
        <v>292</v>
      </c>
      <c r="H81" s="441" t="s">
        <v>66</v>
      </c>
      <c r="I81" s="441"/>
      <c r="K81" s="382"/>
      <c r="L81" s="412"/>
      <c r="M81" s="412"/>
      <c r="N81" s="412"/>
      <c r="O81" s="412"/>
      <c r="P81" s="412"/>
      <c r="Q81" s="412"/>
      <c r="R81" s="412"/>
      <c r="S81" s="412"/>
      <c r="T81" s="412"/>
      <c r="U81" s="412"/>
      <c r="V81" s="412"/>
    </row>
    <row r="82" spans="1:22" x14ac:dyDescent="0.35">
      <c r="A82" s="483" t="s">
        <v>77</v>
      </c>
      <c r="B82" s="373" t="s">
        <v>50</v>
      </c>
      <c r="C82" s="412"/>
      <c r="D82" s="412"/>
      <c r="E82" s="412"/>
      <c r="F82" s="599">
        <v>1</v>
      </c>
      <c r="G82" s="599">
        <v>10</v>
      </c>
      <c r="H82" s="599">
        <v>50</v>
      </c>
      <c r="I82" s="599">
        <v>100</v>
      </c>
      <c r="K82" s="382"/>
      <c r="L82" s="412"/>
      <c r="M82" s="412"/>
      <c r="N82" s="412"/>
      <c r="O82" s="412"/>
      <c r="P82" s="412"/>
      <c r="Q82" s="412"/>
      <c r="R82" s="412"/>
      <c r="S82" s="412"/>
      <c r="T82" s="412"/>
      <c r="U82" s="412"/>
      <c r="V82" s="412"/>
    </row>
    <row r="83" spans="1:22" s="544" customFormat="1" x14ac:dyDescent="0.35">
      <c r="A83" s="483"/>
      <c r="B83" s="373"/>
      <c r="C83" s="464"/>
      <c r="D83" s="464"/>
      <c r="E83" s="464"/>
      <c r="F83" s="599"/>
      <c r="G83" s="599"/>
      <c r="H83" s="599"/>
      <c r="I83" s="599"/>
      <c r="K83" s="382"/>
      <c r="L83" s="464"/>
      <c r="M83" s="464"/>
      <c r="N83" s="464"/>
      <c r="O83" s="464"/>
      <c r="P83" s="464"/>
      <c r="Q83" s="464"/>
      <c r="R83" s="464"/>
      <c r="S83" s="464"/>
      <c r="T83" s="464"/>
      <c r="U83" s="464"/>
      <c r="V83" s="464"/>
    </row>
    <row r="84" spans="1:22" s="544" customFormat="1" x14ac:dyDescent="0.35">
      <c r="A84" s="483"/>
      <c r="B84" s="464" t="s">
        <v>334</v>
      </c>
      <c r="C84" s="464"/>
      <c r="D84" s="464"/>
      <c r="E84" s="464"/>
      <c r="F84" s="599"/>
      <c r="G84" s="599"/>
      <c r="H84" s="599"/>
      <c r="I84" s="599"/>
      <c r="K84" s="382"/>
      <c r="L84" s="464"/>
      <c r="M84" s="464"/>
      <c r="N84" s="464"/>
      <c r="O84" s="464"/>
      <c r="P84" s="464"/>
      <c r="Q84" s="464"/>
      <c r="R84" s="464"/>
      <c r="S84" s="464"/>
      <c r="T84" s="464"/>
      <c r="U84" s="464"/>
      <c r="V84" s="464"/>
    </row>
    <row r="85" spans="1:22" s="544" customFormat="1" x14ac:dyDescent="0.35">
      <c r="A85" s="483"/>
      <c r="B85" s="464" t="s">
        <v>373</v>
      </c>
      <c r="C85" s="464"/>
      <c r="D85" s="464"/>
      <c r="E85" s="464"/>
      <c r="F85" s="599"/>
      <c r="G85" s="599"/>
      <c r="H85" s="599"/>
      <c r="I85" s="599"/>
      <c r="K85" s="382"/>
      <c r="L85" s="464"/>
      <c r="M85" s="464"/>
      <c r="N85" s="464"/>
      <c r="O85" s="464"/>
      <c r="P85" s="464"/>
      <c r="Q85" s="464"/>
      <c r="R85" s="464"/>
      <c r="S85" s="464"/>
      <c r="T85" s="464"/>
      <c r="U85" s="464"/>
      <c r="V85" s="464"/>
    </row>
    <row r="86" spans="1:22" s="544" customFormat="1" x14ac:dyDescent="0.35">
      <c r="A86" s="483"/>
      <c r="B86" s="464" t="s">
        <v>377</v>
      </c>
      <c r="C86" s="464"/>
      <c r="D86" s="464"/>
      <c r="E86" s="464"/>
      <c r="F86" s="599"/>
      <c r="G86" s="599"/>
      <c r="H86" s="599"/>
      <c r="I86" s="599"/>
      <c r="K86" s="382"/>
      <c r="L86" s="464"/>
      <c r="M86" s="464"/>
      <c r="N86" s="464"/>
      <c r="O86" s="464"/>
      <c r="P86" s="464"/>
      <c r="Q86" s="464"/>
      <c r="R86" s="464"/>
      <c r="S86" s="464"/>
      <c r="T86" s="464"/>
      <c r="U86" s="464"/>
      <c r="V86" s="464"/>
    </row>
    <row r="87" spans="1:22" s="544" customFormat="1" x14ac:dyDescent="0.35">
      <c r="A87" s="483"/>
      <c r="B87" s="464" t="s">
        <v>374</v>
      </c>
      <c r="C87" s="464"/>
      <c r="D87" s="464"/>
      <c r="E87" s="464"/>
      <c r="F87" s="599"/>
      <c r="G87" s="599"/>
      <c r="H87" s="599"/>
      <c r="I87" s="599"/>
      <c r="K87" s="382"/>
      <c r="L87" s="464"/>
      <c r="M87" s="464"/>
      <c r="N87" s="464"/>
      <c r="O87" s="464"/>
      <c r="P87" s="464"/>
      <c r="Q87" s="464"/>
      <c r="R87" s="464"/>
      <c r="S87" s="464"/>
      <c r="T87" s="464"/>
      <c r="U87" s="464"/>
      <c r="V87" s="464"/>
    </row>
    <row r="88" spans="1:22" s="544" customFormat="1" x14ac:dyDescent="0.35">
      <c r="A88" s="483"/>
      <c r="B88" s="464" t="s">
        <v>375</v>
      </c>
      <c r="C88" s="464"/>
      <c r="D88" s="464"/>
      <c r="E88" s="464"/>
      <c r="F88" s="599"/>
      <c r="G88" s="599"/>
      <c r="H88" s="599"/>
      <c r="I88" s="599"/>
      <c r="K88" s="382"/>
      <c r="L88" s="464"/>
      <c r="M88" s="464"/>
      <c r="N88" s="464"/>
      <c r="O88" s="464"/>
      <c r="P88" s="464"/>
      <c r="Q88" s="464"/>
      <c r="R88" s="464"/>
      <c r="S88" s="464"/>
      <c r="T88" s="464"/>
      <c r="U88" s="464"/>
      <c r="V88" s="464"/>
    </row>
    <row r="89" spans="1:22" s="544" customFormat="1" x14ac:dyDescent="0.35">
      <c r="A89" s="483"/>
      <c r="B89" s="464" t="s">
        <v>376</v>
      </c>
      <c r="C89" s="464"/>
      <c r="D89" s="464"/>
      <c r="E89" s="382"/>
      <c r="F89" s="605" t="s">
        <v>96</v>
      </c>
      <c r="G89" s="606"/>
      <c r="H89" s="382"/>
      <c r="I89" s="605" t="s">
        <v>381</v>
      </c>
      <c r="J89" s="606"/>
      <c r="K89" s="382"/>
      <c r="L89" s="605" t="s">
        <v>370</v>
      </c>
      <c r="M89" s="606"/>
      <c r="N89" s="382"/>
      <c r="O89" s="605" t="s">
        <v>371</v>
      </c>
      <c r="P89" s="606"/>
      <c r="Q89" s="464"/>
      <c r="R89" s="464"/>
      <c r="S89" s="464"/>
      <c r="T89" s="464"/>
      <c r="U89" s="464"/>
      <c r="V89" s="464"/>
    </row>
    <row r="90" spans="1:22" s="544" customFormat="1" x14ac:dyDescent="0.35">
      <c r="A90" s="483"/>
      <c r="B90" s="373"/>
      <c r="C90" s="464"/>
      <c r="D90" s="464"/>
      <c r="E90" s="604" t="s">
        <v>352</v>
      </c>
      <c r="F90" s="462" t="s">
        <v>351</v>
      </c>
      <c r="G90" s="370" t="s">
        <v>79</v>
      </c>
      <c r="H90" s="604" t="s">
        <v>352</v>
      </c>
      <c r="I90" s="462" t="s">
        <v>351</v>
      </c>
      <c r="J90" s="370" t="s">
        <v>79</v>
      </c>
      <c r="K90" s="604" t="s">
        <v>352</v>
      </c>
      <c r="L90" s="462" t="s">
        <v>351</v>
      </c>
      <c r="M90" s="370" t="s">
        <v>79</v>
      </c>
      <c r="N90" s="604" t="s">
        <v>352</v>
      </c>
      <c r="O90" s="462" t="s">
        <v>351</v>
      </c>
      <c r="P90" s="370" t="s">
        <v>79</v>
      </c>
      <c r="Q90" s="464"/>
      <c r="R90" s="464"/>
      <c r="S90" s="464"/>
      <c r="T90" s="464"/>
      <c r="U90" s="464"/>
      <c r="V90" s="464"/>
    </row>
    <row r="91" spans="1:22" s="544" customFormat="1" x14ac:dyDescent="0.35">
      <c r="A91" s="483"/>
      <c r="B91" s="464" t="s">
        <v>378</v>
      </c>
      <c r="C91" s="464"/>
      <c r="D91" s="464"/>
      <c r="E91" s="464"/>
      <c r="F91" s="599"/>
      <c r="G91" s="599"/>
      <c r="H91" s="599"/>
      <c r="I91" s="599"/>
      <c r="K91" s="382"/>
      <c r="L91" s="464"/>
      <c r="M91" s="464"/>
      <c r="N91" s="464"/>
      <c r="O91" s="464"/>
      <c r="P91" s="464"/>
      <c r="Q91" s="464"/>
      <c r="R91" s="464"/>
      <c r="S91" s="464"/>
      <c r="T91" s="464"/>
      <c r="U91" s="464"/>
      <c r="V91" s="464"/>
    </row>
    <row r="92" spans="1:22" s="544" customFormat="1" x14ac:dyDescent="0.35">
      <c r="A92" s="483"/>
      <c r="B92" s="464">
        <v>1</v>
      </c>
      <c r="C92" s="464" t="s">
        <v>379</v>
      </c>
      <c r="D92" s="464"/>
      <c r="E92" s="464"/>
      <c r="F92" s="599"/>
      <c r="G92" s="600">
        <v>181750</v>
      </c>
      <c r="H92" s="599"/>
      <c r="I92" s="599"/>
      <c r="J92" s="454">
        <f>G92</f>
        <v>181750</v>
      </c>
      <c r="K92" s="382"/>
      <c r="L92" s="464"/>
      <c r="M92" s="609">
        <v>181750</v>
      </c>
      <c r="N92" s="464"/>
      <c r="O92" s="464"/>
      <c r="P92" s="609">
        <v>181750</v>
      </c>
      <c r="Q92" s="464"/>
      <c r="R92" s="464"/>
      <c r="S92" s="464"/>
      <c r="T92" s="464"/>
      <c r="U92" s="464"/>
      <c r="V92" s="464"/>
    </row>
    <row r="93" spans="1:22" s="544" customFormat="1" x14ac:dyDescent="0.35">
      <c r="A93" s="483"/>
      <c r="B93" s="464">
        <v>2</v>
      </c>
      <c r="C93" s="464" t="s">
        <v>47</v>
      </c>
      <c r="D93" s="370" t="s">
        <v>380</v>
      </c>
      <c r="E93" s="464">
        <v>2</v>
      </c>
      <c r="F93" s="600">
        <v>66775</v>
      </c>
      <c r="G93" s="600">
        <f>F93*E93</f>
        <v>133550</v>
      </c>
      <c r="H93" s="599">
        <v>20</v>
      </c>
      <c r="I93" s="600">
        <v>66775</v>
      </c>
      <c r="J93" s="454">
        <f>I93*H93</f>
        <v>1335500</v>
      </c>
      <c r="K93" s="382">
        <v>100</v>
      </c>
      <c r="L93" s="609">
        <v>66775</v>
      </c>
      <c r="M93" s="619">
        <f>L93*K93</f>
        <v>6677500</v>
      </c>
      <c r="N93" s="464">
        <v>200</v>
      </c>
      <c r="O93" s="609">
        <v>66775</v>
      </c>
      <c r="P93" s="619">
        <f>O93*N93</f>
        <v>13355000</v>
      </c>
      <c r="Q93" s="464"/>
      <c r="R93" s="464"/>
      <c r="S93" s="464"/>
      <c r="T93" s="464"/>
      <c r="U93" s="464"/>
      <c r="V93" s="464"/>
    </row>
    <row r="94" spans="1:22" s="544" customFormat="1" x14ac:dyDescent="0.35">
      <c r="A94" s="483"/>
      <c r="B94" s="464">
        <v>3</v>
      </c>
      <c r="C94" s="464" t="s">
        <v>138</v>
      </c>
      <c r="D94" s="360">
        <v>0.1</v>
      </c>
      <c r="E94" s="464">
        <f>D94*E93</f>
        <v>0.2</v>
      </c>
      <c r="F94" s="600">
        <f>F93</f>
        <v>66775</v>
      </c>
      <c r="G94" s="600">
        <f>F94*E94</f>
        <v>13355</v>
      </c>
      <c r="H94" s="599">
        <v>2</v>
      </c>
      <c r="I94" s="600">
        <v>66775</v>
      </c>
      <c r="J94" s="454">
        <f>I94*H94</f>
        <v>133550</v>
      </c>
      <c r="K94" s="382">
        <v>10</v>
      </c>
      <c r="L94" s="609">
        <v>66775</v>
      </c>
      <c r="M94" s="619">
        <f>L94*K94</f>
        <v>667750</v>
      </c>
      <c r="N94" s="464">
        <v>20</v>
      </c>
      <c r="O94" s="609">
        <v>66775</v>
      </c>
      <c r="P94" s="619">
        <f>O94*N94</f>
        <v>1335500</v>
      </c>
      <c r="Q94" s="464"/>
      <c r="R94" s="464"/>
      <c r="S94" s="464"/>
      <c r="T94" s="464"/>
      <c r="U94" s="464"/>
      <c r="V94" s="464"/>
    </row>
    <row r="95" spans="1:22" s="544" customFormat="1" x14ac:dyDescent="0.35">
      <c r="A95" s="483"/>
      <c r="B95" s="373"/>
      <c r="C95" s="464"/>
      <c r="D95" s="464"/>
      <c r="E95" s="464"/>
      <c r="F95" s="599"/>
      <c r="G95" s="599"/>
      <c r="H95" s="599"/>
      <c r="I95" s="599"/>
      <c r="K95" s="382"/>
      <c r="L95" s="464"/>
      <c r="M95" s="464"/>
      <c r="N95" s="464"/>
      <c r="O95" s="464"/>
      <c r="P95" s="464"/>
      <c r="Q95" s="464"/>
      <c r="R95" s="464"/>
      <c r="S95" s="464"/>
      <c r="T95" s="464"/>
      <c r="U95" s="464"/>
      <c r="V95" s="464"/>
    </row>
    <row r="96" spans="1:22" s="544" customFormat="1" x14ac:dyDescent="0.35">
      <c r="A96" s="483"/>
      <c r="B96" s="362" t="s">
        <v>81</v>
      </c>
      <c r="C96" s="362"/>
      <c r="D96" s="362"/>
      <c r="E96" s="362">
        <f>SUM(E92:E94)</f>
        <v>2.2000000000000002</v>
      </c>
      <c r="F96" s="362"/>
      <c r="G96" s="620">
        <f t="shared" ref="G96:P96" si="18">SUM(G92:G94)</f>
        <v>328655</v>
      </c>
      <c r="H96" s="620">
        <f t="shared" si="18"/>
        <v>22</v>
      </c>
      <c r="I96" s="620"/>
      <c r="J96" s="620">
        <f t="shared" si="18"/>
        <v>1650800</v>
      </c>
      <c r="K96" s="620">
        <f t="shared" si="18"/>
        <v>110</v>
      </c>
      <c r="L96" s="620"/>
      <c r="M96" s="620">
        <f t="shared" si="18"/>
        <v>7527000</v>
      </c>
      <c r="N96" s="620">
        <f t="shared" si="18"/>
        <v>220</v>
      </c>
      <c r="O96" s="620"/>
      <c r="P96" s="620">
        <f t="shared" si="18"/>
        <v>14872250</v>
      </c>
      <c r="Q96" s="464"/>
      <c r="R96" s="464"/>
      <c r="S96" s="464"/>
      <c r="T96" s="464"/>
      <c r="U96" s="464"/>
      <c r="V96" s="464"/>
    </row>
    <row r="97" spans="1:22" s="544" customFormat="1" x14ac:dyDescent="0.35">
      <c r="A97" s="483"/>
      <c r="B97" s="373"/>
      <c r="C97" s="464"/>
      <c r="D97" s="464"/>
      <c r="E97" s="464"/>
      <c r="F97" s="599"/>
      <c r="G97" s="599"/>
      <c r="H97" s="599"/>
      <c r="I97" s="599"/>
      <c r="K97" s="382"/>
      <c r="L97" s="464"/>
      <c r="M97" s="464"/>
      <c r="N97" s="464"/>
      <c r="O97" s="464"/>
      <c r="P97" s="464"/>
      <c r="Q97" s="464"/>
      <c r="R97" s="464"/>
      <c r="S97" s="464"/>
      <c r="T97" s="464"/>
      <c r="U97" s="464"/>
      <c r="V97" s="464"/>
    </row>
    <row r="98" spans="1:22" x14ac:dyDescent="0.35">
      <c r="A98" s="411"/>
      <c r="B98" s="411"/>
      <c r="C98" s="381"/>
      <c r="D98" s="381"/>
      <c r="E98" s="381"/>
      <c r="F98" s="381"/>
      <c r="G98" s="381"/>
      <c r="H98" s="381"/>
      <c r="I98" s="381"/>
      <c r="K98" s="411"/>
      <c r="L98" s="411"/>
      <c r="M98" s="411"/>
      <c r="N98" s="411"/>
      <c r="O98" s="411"/>
      <c r="P98" s="411"/>
      <c r="Q98" s="411"/>
      <c r="R98" s="337"/>
      <c r="S98" s="337"/>
      <c r="T98" s="337"/>
      <c r="U98" s="337"/>
      <c r="V98" s="337"/>
    </row>
    <row r="99" spans="1:22" x14ac:dyDescent="0.35">
      <c r="A99" s="373" t="s">
        <v>78</v>
      </c>
      <c r="B99" s="373" t="s">
        <v>51</v>
      </c>
      <c r="C99" s="421"/>
      <c r="D99" s="421"/>
      <c r="E99" s="421"/>
      <c r="F99" s="370" t="s">
        <v>85</v>
      </c>
      <c r="G99" s="383" t="s">
        <v>105</v>
      </c>
      <c r="H99" s="383" t="s">
        <v>107</v>
      </c>
      <c r="I99" s="383" t="s">
        <v>106</v>
      </c>
      <c r="K99" s="421"/>
      <c r="L99" s="337"/>
      <c r="M99" s="337"/>
      <c r="N99" s="337"/>
      <c r="O99" s="337"/>
      <c r="P99" s="337"/>
      <c r="Q99" s="337"/>
      <c r="R99" s="337"/>
      <c r="S99" s="337"/>
      <c r="T99" s="337"/>
      <c r="U99" s="337"/>
      <c r="V99" s="337"/>
    </row>
    <row r="100" spans="1:22" s="544" customFormat="1" x14ac:dyDescent="0.35">
      <c r="A100" s="373"/>
      <c r="B100" s="373"/>
      <c r="C100" s="464"/>
      <c r="D100" s="464"/>
      <c r="E100" s="464"/>
      <c r="F100" s="370"/>
      <c r="G100" s="383"/>
      <c r="H100" s="383"/>
      <c r="I100" s="383"/>
      <c r="K100" s="464"/>
      <c r="L100" s="337"/>
      <c r="M100" s="337"/>
      <c r="N100" s="337"/>
      <c r="O100" s="337"/>
      <c r="P100" s="337"/>
      <c r="Q100" s="337"/>
      <c r="R100" s="337"/>
      <c r="S100" s="337"/>
      <c r="T100" s="337"/>
      <c r="U100" s="337"/>
      <c r="V100" s="337"/>
    </row>
    <row r="101" spans="1:22" s="544" customFormat="1" x14ac:dyDescent="0.35">
      <c r="A101" s="373"/>
      <c r="B101" s="464" t="s">
        <v>382</v>
      </c>
      <c r="C101" s="464"/>
      <c r="D101" s="464"/>
      <c r="E101" s="464"/>
      <c r="F101" s="370"/>
      <c r="G101" s="383"/>
      <c r="H101" s="383"/>
      <c r="I101" s="383"/>
      <c r="K101" s="464"/>
      <c r="L101" s="337"/>
      <c r="M101" s="337"/>
      <c r="N101" s="337"/>
      <c r="O101" s="337"/>
      <c r="P101" s="337"/>
      <c r="Q101" s="337"/>
      <c r="R101" s="337"/>
      <c r="S101" s="337"/>
      <c r="T101" s="337"/>
      <c r="U101" s="337"/>
      <c r="V101" s="337"/>
    </row>
    <row r="102" spans="1:22" s="544" customFormat="1" x14ac:dyDescent="0.35">
      <c r="A102" s="373"/>
      <c r="B102" s="464" t="s">
        <v>383</v>
      </c>
      <c r="C102" s="464"/>
      <c r="D102" s="464"/>
      <c r="E102" s="464"/>
      <c r="F102" s="370"/>
      <c r="G102" s="383"/>
      <c r="H102" s="383"/>
      <c r="I102" s="383"/>
      <c r="K102" s="464"/>
      <c r="L102" s="337"/>
      <c r="M102" s="337"/>
      <c r="N102" s="337"/>
      <c r="O102" s="337"/>
      <c r="P102" s="337"/>
      <c r="Q102" s="337"/>
      <c r="R102" s="337"/>
      <c r="S102" s="337"/>
      <c r="T102" s="337"/>
      <c r="U102" s="337"/>
      <c r="V102" s="337"/>
    </row>
    <row r="103" spans="1:22" x14ac:dyDescent="0.35">
      <c r="A103" s="421"/>
      <c r="B103" s="373"/>
      <c r="C103" s="421"/>
      <c r="D103" s="421"/>
      <c r="E103" s="421"/>
      <c r="F103" s="384"/>
      <c r="G103" s="384"/>
      <c r="H103" s="384"/>
      <c r="I103" s="384"/>
      <c r="K103" s="421"/>
      <c r="L103" s="337"/>
      <c r="M103" s="337"/>
      <c r="N103" s="337"/>
      <c r="O103" s="337"/>
      <c r="P103" s="337"/>
      <c r="Q103" s="337"/>
      <c r="R103" s="337"/>
      <c r="S103" s="337"/>
      <c r="T103" s="337"/>
      <c r="U103" s="337"/>
      <c r="V103" s="337"/>
    </row>
    <row r="104" spans="1:22" x14ac:dyDescent="0.35">
      <c r="A104" s="421"/>
      <c r="B104" s="362" t="s">
        <v>81</v>
      </c>
      <c r="C104" s="362"/>
      <c r="D104" s="362"/>
      <c r="E104" s="362"/>
      <c r="F104" s="366">
        <f>G96</f>
        <v>328655</v>
      </c>
      <c r="G104" s="366">
        <f>J96</f>
        <v>1650800</v>
      </c>
      <c r="H104" s="366">
        <f>M96</f>
        <v>7527000</v>
      </c>
      <c r="I104" s="366">
        <f>P96</f>
        <v>14872250</v>
      </c>
      <c r="K104" s="421"/>
      <c r="L104" s="337"/>
      <c r="M104" s="337"/>
      <c r="N104" s="337"/>
      <c r="O104" s="337"/>
      <c r="P104" s="337"/>
      <c r="Q104" s="337"/>
      <c r="R104" s="337"/>
      <c r="S104" s="337"/>
      <c r="T104" s="337"/>
      <c r="U104" s="337"/>
      <c r="V104" s="337"/>
    </row>
    <row r="105" spans="1:22" x14ac:dyDescent="0.35">
      <c r="A105" s="421"/>
      <c r="B105" s="421"/>
      <c r="C105" s="421"/>
      <c r="D105" s="421"/>
      <c r="E105" s="421"/>
      <c r="F105" s="421"/>
      <c r="G105" s="421"/>
      <c r="H105" s="421"/>
      <c r="I105" s="421"/>
      <c r="J105" s="421"/>
      <c r="K105" s="421"/>
      <c r="L105" s="337"/>
      <c r="M105" s="337"/>
      <c r="N105" s="337"/>
      <c r="O105" s="337"/>
      <c r="P105" s="337"/>
      <c r="Q105" s="337"/>
      <c r="R105" s="337"/>
      <c r="S105" s="337"/>
      <c r="T105" s="337"/>
      <c r="U105" s="337"/>
      <c r="V105" s="337"/>
    </row>
    <row r="106" spans="1:22" x14ac:dyDescent="0.35">
      <c r="A106" s="723" t="s">
        <v>1413</v>
      </c>
      <c r="B106" s="421"/>
      <c r="C106" s="421"/>
      <c r="D106" s="421"/>
      <c r="E106" s="421"/>
      <c r="F106" s="421"/>
      <c r="G106" s="421"/>
      <c r="H106" s="421"/>
      <c r="I106" s="421"/>
      <c r="J106" s="421"/>
      <c r="K106" s="421"/>
      <c r="L106" s="337"/>
      <c r="M106" s="337"/>
      <c r="N106" s="337"/>
      <c r="O106" s="337"/>
      <c r="P106" s="337"/>
      <c r="Q106" s="337"/>
      <c r="R106" s="337"/>
      <c r="S106" s="337"/>
      <c r="T106" s="337"/>
      <c r="U106" s="337"/>
      <c r="V106" s="337"/>
    </row>
    <row r="107" spans="1:22" s="725" customFormat="1" x14ac:dyDescent="0.35">
      <c r="A107" s="722"/>
      <c r="B107" s="722"/>
      <c r="C107" s="722"/>
      <c r="D107" s="722"/>
      <c r="E107" s="722"/>
      <c r="F107" s="722"/>
      <c r="G107" s="722"/>
      <c r="H107" s="722"/>
      <c r="I107" s="722"/>
      <c r="J107" s="722"/>
      <c r="K107" s="722"/>
      <c r="L107" s="723"/>
      <c r="M107" s="723"/>
      <c r="N107" s="723"/>
      <c r="O107" s="723"/>
      <c r="P107" s="723"/>
      <c r="Q107" s="723"/>
      <c r="R107" s="723"/>
      <c r="S107" s="723"/>
      <c r="T107" s="723"/>
      <c r="U107" s="723"/>
      <c r="V107" s="723"/>
    </row>
    <row r="108" spans="1:22" s="293" customFormat="1" x14ac:dyDescent="0.35">
      <c r="A108" s="373" t="s">
        <v>144</v>
      </c>
      <c r="B108" s="412"/>
      <c r="C108" s="412"/>
      <c r="D108" s="412"/>
      <c r="E108" s="412"/>
      <c r="F108" s="412"/>
      <c r="G108" s="412"/>
      <c r="H108" s="412"/>
      <c r="I108" s="412"/>
      <c r="J108" s="412"/>
      <c r="K108" s="412"/>
      <c r="L108" s="337"/>
      <c r="M108" s="337"/>
      <c r="N108" s="337"/>
      <c r="O108" s="337"/>
      <c r="P108" s="337"/>
      <c r="Q108" s="337"/>
      <c r="R108" s="337"/>
      <c r="S108" s="337"/>
      <c r="T108" s="337"/>
      <c r="U108" s="337"/>
      <c r="V108" s="337"/>
    </row>
    <row r="109" spans="1:22" s="721" customFormat="1" x14ac:dyDescent="0.35">
      <c r="A109" s="722" t="s">
        <v>73</v>
      </c>
      <c r="B109" s="722"/>
      <c r="C109" s="722"/>
      <c r="D109" s="722"/>
      <c r="E109" s="722"/>
      <c r="F109" s="722"/>
      <c r="G109" s="722"/>
      <c r="H109" s="722"/>
      <c r="I109" s="722"/>
      <c r="J109" s="722"/>
      <c r="K109" s="722"/>
      <c r="L109" s="723"/>
      <c r="M109" s="723"/>
      <c r="N109" s="723"/>
      <c r="O109" s="723"/>
      <c r="P109" s="723"/>
      <c r="Q109" s="723"/>
      <c r="R109" s="723"/>
      <c r="S109" s="723"/>
      <c r="T109" s="723"/>
      <c r="U109" s="723"/>
      <c r="V109" s="723"/>
    </row>
    <row r="110" spans="1:22" s="721" customFormat="1" x14ac:dyDescent="0.35">
      <c r="A110" s="722" t="s">
        <v>74</v>
      </c>
      <c r="B110" s="722" t="s">
        <v>493</v>
      </c>
      <c r="C110" s="722"/>
      <c r="D110" s="722"/>
      <c r="E110" s="722"/>
      <c r="F110" s="722"/>
      <c r="G110" s="722"/>
      <c r="H110" s="722"/>
      <c r="I110" s="722"/>
      <c r="J110" s="722"/>
      <c r="K110" s="722"/>
      <c r="L110" s="723"/>
      <c r="M110" s="723"/>
      <c r="N110" s="723"/>
      <c r="O110" s="723"/>
      <c r="P110" s="723"/>
      <c r="Q110" s="723"/>
      <c r="R110" s="723"/>
      <c r="S110" s="723"/>
      <c r="T110" s="723"/>
      <c r="U110" s="723"/>
      <c r="V110" s="723"/>
    </row>
    <row r="111" spans="1:22" s="721" customFormat="1" x14ac:dyDescent="0.35">
      <c r="A111" s="722" t="s">
        <v>75</v>
      </c>
      <c r="B111" s="722" t="s">
        <v>493</v>
      </c>
      <c r="C111" s="722"/>
      <c r="D111" s="722"/>
      <c r="E111" s="722"/>
      <c r="F111" s="722"/>
      <c r="G111" s="722"/>
      <c r="H111" s="722"/>
      <c r="I111" s="722"/>
      <c r="J111" s="722"/>
      <c r="K111" s="722"/>
      <c r="L111" s="723"/>
      <c r="M111" s="723"/>
      <c r="N111" s="723"/>
      <c r="O111" s="723"/>
      <c r="P111" s="723"/>
      <c r="Q111" s="723"/>
      <c r="R111" s="723"/>
      <c r="S111" s="723"/>
      <c r="T111" s="723"/>
      <c r="U111" s="723"/>
      <c r="V111" s="723"/>
    </row>
    <row r="112" spans="1:22" s="721" customFormat="1" x14ac:dyDescent="0.35">
      <c r="A112" s="722" t="s">
        <v>76</v>
      </c>
      <c r="B112" s="722" t="s">
        <v>493</v>
      </c>
      <c r="C112" s="722"/>
      <c r="D112" s="722"/>
      <c r="E112" s="722"/>
      <c r="F112" s="722"/>
      <c r="G112" s="722"/>
      <c r="H112" s="722"/>
      <c r="I112" s="722"/>
      <c r="J112" s="722"/>
      <c r="K112" s="722"/>
      <c r="L112" s="723"/>
      <c r="M112" s="723"/>
      <c r="N112" s="723"/>
      <c r="O112" s="723"/>
      <c r="P112" s="723"/>
      <c r="Q112" s="723"/>
      <c r="R112" s="723"/>
      <c r="S112" s="723"/>
      <c r="T112" s="723"/>
      <c r="U112" s="723"/>
      <c r="V112" s="723"/>
    </row>
    <row r="113" spans="1:22" s="721" customFormat="1" x14ac:dyDescent="0.35">
      <c r="A113" s="722" t="s">
        <v>77</v>
      </c>
      <c r="B113" s="722" t="s">
        <v>493</v>
      </c>
      <c r="C113" s="722"/>
      <c r="D113" s="722"/>
      <c r="E113" s="722"/>
      <c r="F113" s="722"/>
      <c r="G113" s="722"/>
      <c r="H113" s="722"/>
      <c r="I113" s="722"/>
      <c r="J113" s="722"/>
      <c r="K113" s="722"/>
      <c r="L113" s="723"/>
      <c r="M113" s="723"/>
      <c r="N113" s="723"/>
      <c r="O113" s="723"/>
      <c r="P113" s="723"/>
      <c r="Q113" s="723"/>
      <c r="R113" s="723"/>
      <c r="S113" s="723"/>
      <c r="T113" s="723"/>
      <c r="U113" s="723"/>
      <c r="V113" s="723"/>
    </row>
    <row r="114" spans="1:22" x14ac:dyDescent="0.35">
      <c r="A114" s="722" t="s">
        <v>78</v>
      </c>
      <c r="B114" s="722" t="s">
        <v>493</v>
      </c>
      <c r="C114" s="412"/>
      <c r="D114" s="412"/>
      <c r="E114" s="412"/>
      <c r="F114" s="412"/>
      <c r="G114" s="412"/>
      <c r="H114" s="412"/>
      <c r="I114" s="412"/>
      <c r="J114" s="412"/>
      <c r="K114" s="412"/>
      <c r="L114" s="337"/>
      <c r="M114" s="337"/>
      <c r="N114" s="337"/>
      <c r="O114" s="337"/>
      <c r="P114" s="337"/>
      <c r="Q114" s="337"/>
      <c r="R114" s="337"/>
      <c r="S114" s="337"/>
      <c r="T114" s="337"/>
      <c r="U114" s="337"/>
      <c r="V114" s="337"/>
    </row>
    <row r="115" spans="1:22" x14ac:dyDescent="0.35">
      <c r="A115" s="412"/>
      <c r="B115" s="722"/>
      <c r="C115" s="412"/>
      <c r="D115" s="412"/>
      <c r="E115" s="412"/>
      <c r="F115" s="412"/>
      <c r="G115" s="412"/>
      <c r="H115" s="412"/>
      <c r="I115" s="412"/>
      <c r="J115" s="412"/>
      <c r="K115" s="412"/>
      <c r="L115" s="337"/>
      <c r="M115" s="337"/>
      <c r="N115" s="337"/>
      <c r="O115" s="337"/>
      <c r="P115" s="337"/>
      <c r="Q115" s="337"/>
      <c r="R115" s="337"/>
      <c r="S115" s="337"/>
      <c r="T115" s="337"/>
      <c r="U115" s="337"/>
      <c r="V115" s="337"/>
    </row>
    <row r="116" spans="1:22" x14ac:dyDescent="0.35">
      <c r="A116" s="373" t="s">
        <v>232</v>
      </c>
      <c r="B116" s="412"/>
      <c r="C116" s="412"/>
      <c r="D116" s="412"/>
      <c r="E116" s="412"/>
      <c r="F116" s="412"/>
      <c r="G116" s="412"/>
      <c r="H116" s="412"/>
      <c r="I116" s="412"/>
      <c r="J116" s="412"/>
      <c r="K116" s="412"/>
      <c r="L116" s="337"/>
      <c r="M116" s="337"/>
      <c r="N116" s="337"/>
      <c r="O116" s="337"/>
      <c r="P116" s="337"/>
      <c r="Q116" s="337"/>
      <c r="R116" s="337"/>
      <c r="S116" s="337"/>
      <c r="T116" s="337"/>
      <c r="U116" s="337"/>
      <c r="V116" s="337"/>
    </row>
    <row r="117" spans="1:22" x14ac:dyDescent="0.35">
      <c r="A117" s="412" t="s">
        <v>73</v>
      </c>
      <c r="B117" s="722" t="s">
        <v>492</v>
      </c>
      <c r="C117" s="412"/>
      <c r="D117" s="412"/>
      <c r="E117" s="412"/>
      <c r="F117" s="412"/>
      <c r="G117" s="412"/>
      <c r="H117" s="412"/>
      <c r="I117" s="412"/>
      <c r="J117" s="412"/>
      <c r="K117" s="412"/>
    </row>
    <row r="118" spans="1:22" x14ac:dyDescent="0.35">
      <c r="A118" s="412" t="s">
        <v>74</v>
      </c>
      <c r="B118" s="722" t="s">
        <v>492</v>
      </c>
      <c r="C118" s="412"/>
      <c r="D118" s="412"/>
      <c r="E118" s="412"/>
      <c r="F118" s="412"/>
      <c r="G118" s="412"/>
      <c r="H118" s="412"/>
      <c r="I118" s="412"/>
      <c r="J118" s="412"/>
      <c r="K118" s="412"/>
    </row>
    <row r="119" spans="1:22" x14ac:dyDescent="0.35">
      <c r="A119" s="412" t="s">
        <v>75</v>
      </c>
      <c r="B119" s="722" t="s">
        <v>492</v>
      </c>
      <c r="C119" s="412"/>
      <c r="D119" s="412"/>
      <c r="E119" s="412"/>
      <c r="F119" s="412"/>
      <c r="G119" s="412"/>
      <c r="H119" s="412"/>
      <c r="I119" s="412"/>
      <c r="J119" s="412"/>
      <c r="K119" s="412"/>
    </row>
    <row r="120" spans="1:22" x14ac:dyDescent="0.35">
      <c r="A120" s="412" t="s">
        <v>76</v>
      </c>
      <c r="B120" s="722" t="s">
        <v>492</v>
      </c>
      <c r="C120" s="412"/>
      <c r="D120" s="412"/>
      <c r="E120" s="412"/>
      <c r="F120" s="412"/>
      <c r="G120" s="412"/>
      <c r="H120" s="412"/>
      <c r="I120" s="412"/>
      <c r="J120" s="412"/>
      <c r="K120" s="412"/>
    </row>
    <row r="121" spans="1:22" x14ac:dyDescent="0.35">
      <c r="A121" s="412" t="s">
        <v>77</v>
      </c>
      <c r="B121" s="722" t="s">
        <v>492</v>
      </c>
      <c r="C121" s="412"/>
      <c r="D121" s="412"/>
      <c r="E121" s="412"/>
      <c r="F121" s="412"/>
      <c r="G121" s="412"/>
      <c r="H121" s="412"/>
      <c r="I121" s="412"/>
      <c r="J121" s="412"/>
      <c r="K121" s="412"/>
    </row>
    <row r="122" spans="1:22" x14ac:dyDescent="0.35">
      <c r="A122" s="412" t="s">
        <v>78</v>
      </c>
      <c r="B122" s="722" t="s">
        <v>492</v>
      </c>
      <c r="C122" s="412"/>
      <c r="D122" s="412"/>
      <c r="E122" s="412"/>
      <c r="F122" s="412"/>
      <c r="G122" s="412"/>
      <c r="H122" s="412"/>
      <c r="I122" s="412"/>
      <c r="J122" s="412"/>
      <c r="K122" s="412"/>
    </row>
    <row r="123" spans="1:22" x14ac:dyDescent="0.35">
      <c r="A123" s="412"/>
      <c r="B123" s="412"/>
      <c r="C123" s="412"/>
      <c r="D123" s="412"/>
      <c r="E123" s="412"/>
      <c r="F123" s="412"/>
      <c r="G123" s="412"/>
      <c r="H123" s="412"/>
      <c r="I123" s="412"/>
      <c r="J123" s="412"/>
      <c r="K123" s="412"/>
    </row>
    <row r="124" spans="1:22" x14ac:dyDescent="0.35">
      <c r="A124" s="412"/>
      <c r="B124" s="412"/>
      <c r="C124" s="412"/>
      <c r="D124" s="412"/>
      <c r="E124" s="412"/>
      <c r="F124" s="412"/>
      <c r="G124" s="412"/>
      <c r="H124" s="412"/>
      <c r="I124" s="412"/>
      <c r="J124" s="412"/>
      <c r="K124" s="41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70" zoomScaleNormal="70" workbookViewId="0">
      <selection activeCell="A9" sqref="A9"/>
    </sheetView>
  </sheetViews>
  <sheetFormatPr defaultRowHeight="14.5" x14ac:dyDescent="0.35"/>
  <cols>
    <col min="1" max="1" width="5.90625" customWidth="1"/>
  </cols>
  <sheetData>
    <row r="1" spans="1:2" x14ac:dyDescent="0.35">
      <c r="A1" s="59" t="s">
        <v>161</v>
      </c>
    </row>
    <row r="3" spans="1:2" s="293" customFormat="1" x14ac:dyDescent="0.35">
      <c r="A3" s="211" t="s">
        <v>144</v>
      </c>
    </row>
    <row r="4" spans="1:2" s="293" customFormat="1" x14ac:dyDescent="0.35">
      <c r="A4" s="293">
        <v>1.8</v>
      </c>
      <c r="B4" s="293" t="s">
        <v>237</v>
      </c>
    </row>
    <row r="5" spans="1:2" s="293" customFormat="1" x14ac:dyDescent="0.35">
      <c r="B5" s="293" t="s">
        <v>163</v>
      </c>
    </row>
    <row r="7" spans="1:2" x14ac:dyDescent="0.35">
      <c r="A7" s="437" t="s">
        <v>232</v>
      </c>
    </row>
    <row r="8" spans="1:2" x14ac:dyDescent="0.35">
      <c r="A8">
        <v>1.8</v>
      </c>
      <c r="B8" t="s">
        <v>494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70" zoomScaleNormal="70" workbookViewId="0">
      <selection activeCell="A9" sqref="A9"/>
    </sheetView>
  </sheetViews>
  <sheetFormatPr defaultRowHeight="14.5" x14ac:dyDescent="0.35"/>
  <sheetData>
    <row r="1" spans="1:3" x14ac:dyDescent="0.35">
      <c r="A1" s="59" t="s">
        <v>162</v>
      </c>
    </row>
    <row r="3" spans="1:3" s="293" customFormat="1" x14ac:dyDescent="0.35">
      <c r="A3" s="211" t="s">
        <v>144</v>
      </c>
    </row>
    <row r="4" spans="1:3" s="293" customFormat="1" x14ac:dyDescent="0.35">
      <c r="A4" s="293">
        <v>1.9</v>
      </c>
      <c r="B4" s="293" t="s">
        <v>238</v>
      </c>
    </row>
    <row r="5" spans="1:3" s="293" customFormat="1" x14ac:dyDescent="0.35">
      <c r="B5" s="293" t="s">
        <v>208</v>
      </c>
    </row>
    <row r="7" spans="1:3" x14ac:dyDescent="0.35">
      <c r="A7" s="437" t="s">
        <v>232</v>
      </c>
    </row>
    <row r="8" spans="1:3" x14ac:dyDescent="0.35">
      <c r="A8">
        <v>1.9</v>
      </c>
      <c r="B8" t="s">
        <v>495</v>
      </c>
    </row>
    <row r="11" spans="1:3" x14ac:dyDescent="0.35">
      <c r="A11" s="437"/>
      <c r="B11" s="435"/>
      <c r="C11" s="435"/>
    </row>
    <row r="12" spans="1:3" x14ac:dyDescent="0.35">
      <c r="A12" s="435"/>
      <c r="B12" s="436"/>
      <c r="C12" s="438"/>
    </row>
    <row r="13" spans="1:3" x14ac:dyDescent="0.35">
      <c r="A13" s="435"/>
      <c r="B13" s="435"/>
      <c r="C13" s="435"/>
    </row>
    <row r="14" spans="1:3" x14ac:dyDescent="0.35">
      <c r="B14" s="435"/>
      <c r="C14" s="435"/>
    </row>
    <row r="15" spans="1:3" x14ac:dyDescent="0.35">
      <c r="A15" s="435"/>
      <c r="B15" s="436"/>
      <c r="C15" s="43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1"/>
  <sheetViews>
    <sheetView zoomScale="70" zoomScaleNormal="70" workbookViewId="0">
      <selection activeCell="E24" sqref="E24"/>
    </sheetView>
  </sheetViews>
  <sheetFormatPr defaultRowHeight="14.5" x14ac:dyDescent="0.35"/>
  <cols>
    <col min="1" max="1" width="7" customWidth="1"/>
    <col min="3" max="3" width="14.36328125" customWidth="1"/>
    <col min="4" max="4" width="7.54296875" customWidth="1"/>
    <col min="5" max="5" width="13.453125" bestFit="1" customWidth="1"/>
    <col min="6" max="6" width="17" customWidth="1"/>
    <col min="7" max="7" width="19.90625" customWidth="1"/>
    <col min="8" max="8" width="16.90625" customWidth="1"/>
  </cols>
  <sheetData>
    <row r="1" spans="1:8" x14ac:dyDescent="0.35">
      <c r="A1" s="486" t="s">
        <v>392</v>
      </c>
    </row>
    <row r="3" spans="1:8" x14ac:dyDescent="0.35">
      <c r="A3" s="59" t="s">
        <v>108</v>
      </c>
      <c r="D3" t="s">
        <v>66</v>
      </c>
      <c r="E3" s="46">
        <v>1</v>
      </c>
      <c r="F3" s="46">
        <v>10</v>
      </c>
      <c r="G3" s="46">
        <v>50</v>
      </c>
      <c r="H3" s="46">
        <v>100</v>
      </c>
    </row>
    <row r="4" spans="1:8" x14ac:dyDescent="0.35">
      <c r="B4">
        <v>2.1</v>
      </c>
      <c r="C4" t="s">
        <v>52</v>
      </c>
      <c r="E4" s="39">
        <f>('CBS (Total)'!J12+'CBS (Total)'!J24+'CBS (Total)'!J29+'CBS (Total)'!J43+'CBS (Total)'!J44+'CBS (Total)'!J18)*E6</f>
        <v>167325.04323769428</v>
      </c>
      <c r="F4" s="39">
        <f>('CBS (Total)'!L12+'CBS (Total)'!L24+'CBS (Total)'!L29+'CBS (Total)'!L43+'CBS (Total)'!L44+'CBS (Total)'!L18)*F6</f>
        <v>493835.55384593504</v>
      </c>
      <c r="G4" s="39">
        <f>('CBS (Total)'!N12+'CBS (Total)'!N24+'CBS (Total)'!N29+'CBS (Total)'!N43+'CBS (Total)'!N44+'CBS (Total)'!N18)*G6</f>
        <v>769568.41221470002</v>
      </c>
      <c r="H4" s="39">
        <f>('CBS (Total)'!P12+'CBS (Total)'!P24+'CBS (Total)'!P29+'CBS (Total)'!P43+'CBS (Total)'!P44+'CBS (Total)'!P18)*H6</f>
        <v>735741.54187923844</v>
      </c>
    </row>
    <row r="6" spans="1:8" x14ac:dyDescent="0.35">
      <c r="C6" t="s">
        <v>384</v>
      </c>
      <c r="E6" s="44">
        <f>C10</f>
        <v>0.02</v>
      </c>
      <c r="F6" s="44">
        <f>C11</f>
        <v>0.02</v>
      </c>
      <c r="G6" s="44">
        <f>C12</f>
        <v>0.01</v>
      </c>
      <c r="H6" s="47">
        <f>C13</f>
        <v>5.0000000000000001E-3</v>
      </c>
    </row>
    <row r="7" spans="1:8" s="544" customFormat="1" x14ac:dyDescent="0.35">
      <c r="E7" s="463"/>
      <c r="F7" s="424"/>
      <c r="G7" s="424"/>
      <c r="H7" s="47"/>
    </row>
    <row r="9" spans="1:8" x14ac:dyDescent="0.35">
      <c r="A9" s="59" t="s">
        <v>82</v>
      </c>
    </row>
    <row r="10" spans="1:8" x14ac:dyDescent="0.35">
      <c r="B10" t="s">
        <v>90</v>
      </c>
      <c r="C10" s="19">
        <v>0.02</v>
      </c>
      <c r="D10" t="s">
        <v>94</v>
      </c>
    </row>
    <row r="11" spans="1:8" x14ac:dyDescent="0.35">
      <c r="B11" t="s">
        <v>91</v>
      </c>
      <c r="C11" s="19">
        <v>0.02</v>
      </c>
    </row>
    <row r="12" spans="1:8" x14ac:dyDescent="0.35">
      <c r="B12" t="s">
        <v>93</v>
      </c>
      <c r="C12" s="19">
        <v>0.01</v>
      </c>
    </row>
    <row r="13" spans="1:8" x14ac:dyDescent="0.35">
      <c r="B13" t="s">
        <v>92</v>
      </c>
      <c r="C13" s="24">
        <v>5.0000000000000001E-3</v>
      </c>
      <c r="D13" t="s">
        <v>95</v>
      </c>
    </row>
    <row r="15" spans="1:8" s="293" customFormat="1" x14ac:dyDescent="0.35">
      <c r="A15" s="211" t="s">
        <v>144</v>
      </c>
    </row>
    <row r="16" spans="1:8" s="293" customFormat="1" x14ac:dyDescent="0.35">
      <c r="A16" s="293">
        <v>2.1</v>
      </c>
      <c r="B16" s="293" t="s">
        <v>239</v>
      </c>
    </row>
    <row r="17" spans="1:2" s="293" customFormat="1" x14ac:dyDescent="0.35">
      <c r="B17" s="293" t="s">
        <v>240</v>
      </c>
    </row>
    <row r="18" spans="1:2" s="293" customFormat="1" x14ac:dyDescent="0.35">
      <c r="B18" s="293" t="s">
        <v>241</v>
      </c>
    </row>
    <row r="19" spans="1:2" s="293" customFormat="1" x14ac:dyDescent="0.35"/>
    <row r="20" spans="1:2" s="293" customFormat="1" x14ac:dyDescent="0.35">
      <c r="A20" s="211" t="s">
        <v>232</v>
      </c>
    </row>
    <row r="21" spans="1:2" s="293" customFormat="1" x14ac:dyDescent="0.35">
      <c r="A21" s="293">
        <v>2.1</v>
      </c>
      <c r="B21" s="293" t="s">
        <v>242</v>
      </c>
    </row>
  </sheetData>
  <pageMargins left="0.7" right="0.7" top="0.75" bottom="0.75" header="0.3" footer="0.3"/>
  <pageSetup orientation="portrait"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23"/>
  <sheetViews>
    <sheetView zoomScale="70" zoomScaleNormal="70" workbookViewId="0">
      <selection activeCell="C25" sqref="C25"/>
    </sheetView>
  </sheetViews>
  <sheetFormatPr defaultRowHeight="14.5" x14ac:dyDescent="0.35"/>
  <cols>
    <col min="1" max="1" width="4.08984375" customWidth="1"/>
    <col min="2" max="2" width="4.453125" customWidth="1"/>
    <col min="3" max="3" width="55.453125" customWidth="1"/>
    <col min="4" max="4" width="14.6328125" customWidth="1"/>
    <col min="5" max="7" width="14.08984375" customWidth="1"/>
    <col min="8" max="8" width="15.36328125" customWidth="1"/>
    <col min="9" max="9" width="16.453125" customWidth="1"/>
    <col min="10" max="10" width="25.453125" customWidth="1"/>
    <col min="12" max="12" width="9.08984375" style="293"/>
    <col min="13" max="13" width="21.90625" customWidth="1"/>
    <col min="14" max="14" width="20.453125" customWidth="1"/>
    <col min="15" max="15" width="14" customWidth="1"/>
  </cols>
  <sheetData>
    <row r="1" spans="1:20" s="544" customFormat="1" x14ac:dyDescent="0.35">
      <c r="A1" s="486" t="s">
        <v>393</v>
      </c>
    </row>
    <row r="3" spans="1:20" x14ac:dyDescent="0.35">
      <c r="A3" s="59" t="s">
        <v>108</v>
      </c>
      <c r="B3" s="58"/>
      <c r="C3" s="58"/>
      <c r="E3" s="63">
        <v>1</v>
      </c>
      <c r="F3" s="63">
        <v>10</v>
      </c>
      <c r="G3" s="63">
        <v>50</v>
      </c>
      <c r="H3" s="63">
        <v>100</v>
      </c>
    </row>
    <row r="4" spans="1:20" x14ac:dyDescent="0.35">
      <c r="A4" s="59"/>
      <c r="B4" s="58">
        <v>2.2000000000000002</v>
      </c>
      <c r="C4" s="58" t="s">
        <v>53</v>
      </c>
      <c r="E4" s="200">
        <f>E17</f>
        <v>710000</v>
      </c>
      <c r="F4" s="216">
        <f>F17</f>
        <v>1121000</v>
      </c>
      <c r="G4" s="216">
        <f>G17</f>
        <v>1121000</v>
      </c>
      <c r="H4" s="200">
        <f>G17</f>
        <v>1121000</v>
      </c>
    </row>
    <row r="6" spans="1:20" x14ac:dyDescent="0.35">
      <c r="H6" s="214"/>
      <c r="I6" s="214"/>
      <c r="J6" s="252"/>
      <c r="K6" s="252"/>
      <c r="L6" s="252"/>
      <c r="M6" s="252"/>
      <c r="N6" s="252"/>
      <c r="O6" s="214"/>
      <c r="P6" s="214"/>
      <c r="Q6" s="214"/>
      <c r="R6" s="214"/>
      <c r="S6" s="214"/>
      <c r="T6" s="214"/>
    </row>
    <row r="7" spans="1:20" x14ac:dyDescent="0.35">
      <c r="H7" s="214"/>
      <c r="I7" s="214"/>
      <c r="J7" s="214"/>
      <c r="K7" s="252"/>
      <c r="L7" s="252"/>
      <c r="M7" s="252"/>
      <c r="N7" s="252"/>
      <c r="O7" s="214"/>
      <c r="P7" s="214"/>
      <c r="Q7" s="214"/>
      <c r="R7" s="214"/>
      <c r="S7" s="214"/>
      <c r="T7" s="214"/>
    </row>
    <row r="8" spans="1:20" ht="15" customHeight="1" x14ac:dyDescent="0.35">
      <c r="A8" s="198" t="s">
        <v>247</v>
      </c>
      <c r="C8" s="199"/>
      <c r="D8" s="213"/>
      <c r="E8" s="213" t="s">
        <v>85</v>
      </c>
      <c r="F8" s="228" t="s">
        <v>86</v>
      </c>
      <c r="G8" s="315" t="s">
        <v>243</v>
      </c>
      <c r="H8" s="310"/>
      <c r="I8" s="308"/>
      <c r="J8" s="905"/>
      <c r="K8" s="905"/>
      <c r="L8" s="905"/>
      <c r="M8" s="214"/>
      <c r="N8" s="214"/>
      <c r="O8" s="214"/>
      <c r="P8" s="214"/>
      <c r="Q8" s="214"/>
    </row>
    <row r="9" spans="1:20" x14ac:dyDescent="0.35">
      <c r="A9" s="211"/>
      <c r="B9" s="52"/>
      <c r="C9" s="55"/>
      <c r="E9" s="293"/>
      <c r="F9" s="305"/>
      <c r="G9" s="309"/>
      <c r="H9" s="309"/>
      <c r="I9" s="303"/>
      <c r="J9" s="906"/>
      <c r="K9" s="906"/>
      <c r="L9" s="906"/>
      <c r="M9" s="214"/>
      <c r="N9" s="214"/>
      <c r="O9" s="214"/>
      <c r="P9" s="214"/>
      <c r="Q9" s="214"/>
    </row>
    <row r="10" spans="1:20" ht="15" customHeight="1" x14ac:dyDescent="0.35">
      <c r="A10" s="211"/>
      <c r="B10" s="52"/>
      <c r="C10" s="429" t="s">
        <v>260</v>
      </c>
      <c r="D10" s="64"/>
      <c r="E10" s="64">
        <v>237500</v>
      </c>
      <c r="F10" s="463">
        <f>E10</f>
        <v>237500</v>
      </c>
      <c r="G10" s="463">
        <f>E10</f>
        <v>237500</v>
      </c>
      <c r="H10" s="306"/>
      <c r="I10" s="306"/>
      <c r="J10" s="307"/>
      <c r="K10" s="307"/>
      <c r="L10" s="306"/>
      <c r="M10" s="214"/>
      <c r="N10" s="214"/>
      <c r="O10" s="214"/>
      <c r="P10" s="214"/>
      <c r="Q10" s="214"/>
    </row>
    <row r="11" spans="1:20" x14ac:dyDescent="0.35">
      <c r="A11" s="211"/>
      <c r="B11" s="52"/>
      <c r="C11" s="429" t="s">
        <v>261</v>
      </c>
      <c r="D11" s="64"/>
      <c r="E11" s="64">
        <v>237500</v>
      </c>
      <c r="F11" s="463">
        <f t="shared" ref="F11:F14" si="0">E11</f>
        <v>237500</v>
      </c>
      <c r="G11" s="463">
        <f t="shared" ref="G11:G14" si="1">E11</f>
        <v>237500</v>
      </c>
      <c r="H11" s="306"/>
      <c r="I11" s="306"/>
      <c r="J11" s="306"/>
      <c r="K11" s="31"/>
      <c r="L11" s="48"/>
      <c r="M11" s="214"/>
      <c r="N11" s="214"/>
      <c r="O11" s="214"/>
      <c r="P11" s="214"/>
      <c r="Q11" s="214"/>
    </row>
    <row r="12" spans="1:20" x14ac:dyDescent="0.35">
      <c r="A12" s="211"/>
      <c r="B12" s="52"/>
      <c r="C12" s="429" t="s">
        <v>257</v>
      </c>
      <c r="D12" s="64"/>
      <c r="E12" s="64">
        <v>112500</v>
      </c>
      <c r="F12" s="463">
        <f t="shared" si="0"/>
        <v>112500</v>
      </c>
      <c r="G12" s="463">
        <f t="shared" si="1"/>
        <v>112500</v>
      </c>
      <c r="H12" s="306"/>
      <c r="I12" s="306"/>
      <c r="J12" s="306"/>
      <c r="K12" s="31"/>
      <c r="L12" s="48"/>
      <c r="M12" s="214"/>
      <c r="N12" s="214"/>
      <c r="O12" s="214"/>
      <c r="P12" s="214"/>
      <c r="Q12" s="214"/>
    </row>
    <row r="13" spans="1:20" s="418" customFormat="1" x14ac:dyDescent="0.35">
      <c r="A13" s="423"/>
      <c r="B13" s="428"/>
      <c r="C13" s="429" t="s">
        <v>262</v>
      </c>
      <c r="D13" s="420"/>
      <c r="E13" s="420">
        <v>80000</v>
      </c>
      <c r="F13" s="463">
        <f t="shared" si="0"/>
        <v>80000</v>
      </c>
      <c r="G13" s="463">
        <f t="shared" si="1"/>
        <v>80000</v>
      </c>
      <c r="H13" s="406"/>
      <c r="I13" s="406"/>
      <c r="J13" s="406"/>
      <c r="K13" s="427"/>
      <c r="L13" s="426"/>
      <c r="M13" s="425"/>
      <c r="N13" s="425"/>
      <c r="O13" s="425"/>
      <c r="P13" s="425"/>
      <c r="Q13" s="425"/>
    </row>
    <row r="14" spans="1:20" x14ac:dyDescent="0.35">
      <c r="A14" s="211"/>
      <c r="B14" s="52"/>
      <c r="C14" s="429" t="s">
        <v>263</v>
      </c>
      <c r="D14" s="64"/>
      <c r="E14" s="64">
        <v>42500</v>
      </c>
      <c r="F14" s="463">
        <f t="shared" si="0"/>
        <v>42500</v>
      </c>
      <c r="G14" s="463">
        <f t="shared" si="1"/>
        <v>42500</v>
      </c>
      <c r="H14" s="306"/>
      <c r="I14" s="306"/>
      <c r="J14" s="306"/>
      <c r="K14" s="31"/>
      <c r="L14" s="48"/>
      <c r="M14" s="214"/>
      <c r="N14" s="214"/>
      <c r="O14" s="214"/>
      <c r="P14" s="214"/>
      <c r="Q14" s="214"/>
    </row>
    <row r="15" spans="1:20" s="293" customFormat="1" x14ac:dyDescent="0.35">
      <c r="A15" s="211"/>
      <c r="B15" s="52"/>
      <c r="C15" s="429" t="s">
        <v>246</v>
      </c>
      <c r="D15" s="64"/>
      <c r="E15" s="64"/>
      <c r="F15" s="420">
        <f>411000</f>
        <v>411000</v>
      </c>
      <c r="G15" s="463">
        <f>411000</f>
        <v>411000</v>
      </c>
      <c r="H15" s="306"/>
      <c r="I15" s="306"/>
      <c r="J15" s="306"/>
      <c r="K15" s="31"/>
      <c r="L15" s="48"/>
      <c r="M15" s="214"/>
      <c r="N15" s="214"/>
      <c r="O15" s="214"/>
      <c r="P15" s="214"/>
      <c r="Q15" s="214"/>
    </row>
    <row r="16" spans="1:20" s="293" customFormat="1" ht="15.5" x14ac:dyDescent="0.35">
      <c r="A16" s="211"/>
      <c r="B16" s="52"/>
      <c r="C16" s="304"/>
      <c r="D16" s="64"/>
      <c r="E16" s="64"/>
      <c r="F16" s="305"/>
      <c r="G16" s="307"/>
      <c r="H16" s="306"/>
      <c r="I16" s="306"/>
      <c r="J16" s="306"/>
      <c r="K16" s="31"/>
      <c r="L16" s="48"/>
      <c r="M16" s="214"/>
      <c r="N16" s="214"/>
      <c r="O16" s="214"/>
      <c r="P16" s="214"/>
      <c r="Q16" s="214"/>
    </row>
    <row r="17" spans="1:20" s="293" customFormat="1" x14ac:dyDescent="0.35">
      <c r="A17" s="211"/>
      <c r="B17" s="38"/>
      <c r="C17" s="316" t="s">
        <v>81</v>
      </c>
      <c r="D17" s="207"/>
      <c r="E17" s="207">
        <f>SUM(E10:E15)</f>
        <v>710000</v>
      </c>
      <c r="F17" s="207">
        <f>SUM(F10:F15)</f>
        <v>1121000</v>
      </c>
      <c r="G17" s="207">
        <f>SUM(G10:G15)</f>
        <v>1121000</v>
      </c>
      <c r="H17" s="31"/>
      <c r="I17" s="31"/>
      <c r="J17" s="31"/>
      <c r="K17" s="31"/>
      <c r="L17" s="48"/>
      <c r="M17" s="214"/>
      <c r="N17" s="214"/>
      <c r="O17" s="214"/>
      <c r="P17" s="214"/>
      <c r="Q17" s="214"/>
    </row>
    <row r="18" spans="1:20" s="293" customFormat="1" x14ac:dyDescent="0.35">
      <c r="A18" s="211"/>
      <c r="B18" s="38"/>
      <c r="C18" s="53"/>
      <c r="E18" s="305"/>
      <c r="F18" s="305"/>
      <c r="G18" s="386"/>
      <c r="H18" s="305"/>
      <c r="I18" s="31"/>
      <c r="J18" s="31"/>
      <c r="K18" s="31"/>
      <c r="L18" s="31"/>
      <c r="M18" s="31"/>
      <c r="N18" s="31"/>
      <c r="O18" s="48"/>
      <c r="P18" s="214"/>
      <c r="Q18" s="214"/>
      <c r="R18" s="214"/>
      <c r="S18" s="214"/>
      <c r="T18" s="214"/>
    </row>
    <row r="19" spans="1:20" x14ac:dyDescent="0.35">
      <c r="A19" s="211" t="s">
        <v>144</v>
      </c>
      <c r="B19" s="293"/>
      <c r="C19" s="293"/>
      <c r="H19" s="214"/>
      <c r="I19" s="214"/>
      <c r="J19" s="214"/>
      <c r="K19" s="214"/>
      <c r="L19" s="214"/>
      <c r="M19" s="214"/>
      <c r="N19" s="214"/>
      <c r="O19" s="214"/>
      <c r="P19" s="214"/>
      <c r="Q19" s="214"/>
      <c r="R19" s="214"/>
      <c r="S19" s="214"/>
      <c r="T19" s="214"/>
    </row>
    <row r="20" spans="1:20" x14ac:dyDescent="0.35">
      <c r="A20" s="293"/>
      <c r="B20" s="38">
        <v>2.2000000000000002</v>
      </c>
      <c r="C20" s="252" t="s">
        <v>248</v>
      </c>
      <c r="H20" s="214"/>
      <c r="I20" s="214"/>
      <c r="J20" s="214"/>
      <c r="K20" s="214"/>
      <c r="L20" s="214"/>
      <c r="M20" s="214"/>
      <c r="N20" s="214"/>
      <c r="O20" s="214"/>
      <c r="P20" s="214"/>
      <c r="Q20" s="214"/>
      <c r="R20" s="214"/>
      <c r="S20" s="214"/>
      <c r="T20" s="214"/>
    </row>
    <row r="21" spans="1:20" s="293" customFormat="1" x14ac:dyDescent="0.35"/>
    <row r="22" spans="1:20" x14ac:dyDescent="0.35">
      <c r="A22" s="211" t="s">
        <v>232</v>
      </c>
      <c r="B22" s="293"/>
      <c r="C22" s="293"/>
    </row>
    <row r="23" spans="1:20" x14ac:dyDescent="0.35">
      <c r="B23" s="38">
        <v>2.2000000000000002</v>
      </c>
      <c r="C23" s="293" t="s">
        <v>250</v>
      </c>
    </row>
  </sheetData>
  <mergeCells count="2">
    <mergeCell ref="J8:L8"/>
    <mergeCell ref="J9:L9"/>
  </mergeCell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80"/>
  <sheetViews>
    <sheetView zoomScale="70" zoomScaleNormal="70" workbookViewId="0">
      <selection activeCell="B77" sqref="B77"/>
    </sheetView>
  </sheetViews>
  <sheetFormatPr defaultRowHeight="14.5" x14ac:dyDescent="0.35"/>
  <cols>
    <col min="1" max="1" width="5.08984375" customWidth="1"/>
    <col min="2" max="2" width="3.6328125" style="544" customWidth="1"/>
    <col min="3" max="3" width="37.453125" customWidth="1"/>
    <col min="4" max="4" width="31.6328125" customWidth="1"/>
    <col min="5" max="5" width="18" bestFit="1" customWidth="1"/>
    <col min="6" max="7" width="14.54296875" customWidth="1"/>
    <col min="8" max="8" width="17.08984375" customWidth="1"/>
    <col min="9" max="9" width="20.08984375" customWidth="1"/>
    <col min="12" max="12" width="17.36328125" customWidth="1"/>
    <col min="13" max="13" width="25.6328125" customWidth="1"/>
    <col min="14" max="14" width="22.36328125" customWidth="1"/>
  </cols>
  <sheetData>
    <row r="1" spans="1:9" s="544" customFormat="1" x14ac:dyDescent="0.35">
      <c r="A1" s="486" t="s">
        <v>394</v>
      </c>
      <c r="B1" s="486"/>
    </row>
    <row r="2" spans="1:9" s="58" customFormat="1" x14ac:dyDescent="0.35">
      <c r="B2" s="544"/>
    </row>
    <row r="3" spans="1:9" s="58" customFormat="1" x14ac:dyDescent="0.35">
      <c r="A3" s="59" t="s">
        <v>108</v>
      </c>
      <c r="B3" s="486"/>
    </row>
    <row r="4" spans="1:9" s="58" customFormat="1" x14ac:dyDescent="0.35">
      <c r="B4" s="544"/>
      <c r="E4" s="58" t="s">
        <v>66</v>
      </c>
      <c r="F4" s="58">
        <v>1</v>
      </c>
      <c r="G4" s="58">
        <v>10</v>
      </c>
      <c r="H4" s="58">
        <v>50</v>
      </c>
      <c r="I4" s="58">
        <v>100</v>
      </c>
    </row>
    <row r="5" spans="1:9" x14ac:dyDescent="0.35">
      <c r="C5">
        <v>2.2999999999999998</v>
      </c>
      <c r="D5" t="s">
        <v>54</v>
      </c>
      <c r="F5" s="41">
        <f>D72</f>
        <v>26569</v>
      </c>
      <c r="G5" s="522">
        <f t="shared" ref="G5:I5" si="0">E72</f>
        <v>265690</v>
      </c>
      <c r="H5" s="522">
        <f t="shared" si="0"/>
        <v>562320</v>
      </c>
      <c r="I5" s="522">
        <f t="shared" si="0"/>
        <v>1124640</v>
      </c>
    </row>
    <row r="6" spans="1:9" s="544" customFormat="1" x14ac:dyDescent="0.35">
      <c r="F6" s="522"/>
      <c r="G6" s="522"/>
      <c r="H6" s="522"/>
      <c r="I6" s="522"/>
    </row>
    <row r="8" spans="1:9" s="544" customFormat="1" x14ac:dyDescent="0.35">
      <c r="A8" s="486"/>
      <c r="B8" s="486"/>
    </row>
    <row r="9" spans="1:9" s="544" customFormat="1" x14ac:dyDescent="0.35">
      <c r="A9" s="486" t="s">
        <v>426</v>
      </c>
      <c r="B9" s="486"/>
    </row>
    <row r="10" spans="1:9" s="544" customFormat="1" x14ac:dyDescent="0.35">
      <c r="D10" s="462"/>
    </row>
    <row r="11" spans="1:9" s="544" customFormat="1" x14ac:dyDescent="0.35">
      <c r="C11" s="544" t="s">
        <v>422</v>
      </c>
      <c r="D11" s="84">
        <v>8000</v>
      </c>
    </row>
    <row r="12" spans="1:9" s="544" customFormat="1" x14ac:dyDescent="0.35">
      <c r="C12" s="544" t="s">
        <v>423</v>
      </c>
      <c r="D12" s="84">
        <v>3000</v>
      </c>
    </row>
    <row r="13" spans="1:9" s="544" customFormat="1" x14ac:dyDescent="0.35">
      <c r="C13" s="544" t="s">
        <v>424</v>
      </c>
      <c r="D13" s="84">
        <v>3000</v>
      </c>
    </row>
    <row r="14" spans="1:9" s="544" customFormat="1" x14ac:dyDescent="0.35">
      <c r="C14" s="544" t="s">
        <v>399</v>
      </c>
      <c r="D14" s="84">
        <v>800</v>
      </c>
    </row>
    <row r="15" spans="1:9" s="544" customFormat="1" x14ac:dyDescent="0.35">
      <c r="C15" s="544" t="s">
        <v>425</v>
      </c>
      <c r="D15" s="84">
        <v>1500</v>
      </c>
    </row>
    <row r="16" spans="1:9" s="544" customFormat="1" x14ac:dyDescent="0.35">
      <c r="D16" s="84"/>
    </row>
    <row r="17" spans="1:4" s="544" customFormat="1" x14ac:dyDescent="0.35">
      <c r="C17" s="329" t="s">
        <v>81</v>
      </c>
      <c r="D17" s="663">
        <f>SUM(D11:D15)</f>
        <v>16300</v>
      </c>
    </row>
    <row r="18" spans="1:4" s="544" customFormat="1" x14ac:dyDescent="0.35">
      <c r="D18" s="462"/>
    </row>
    <row r="19" spans="1:4" s="544" customFormat="1" ht="17.25" customHeight="1" x14ac:dyDescent="0.35">
      <c r="A19" s="486" t="s">
        <v>427</v>
      </c>
      <c r="B19" s="486"/>
      <c r="D19" s="462"/>
    </row>
    <row r="20" spans="1:4" s="544" customFormat="1" x14ac:dyDescent="0.35">
      <c r="D20" s="462"/>
    </row>
    <row r="21" spans="1:4" s="544" customFormat="1" x14ac:dyDescent="0.35">
      <c r="C21" s="544" t="s">
        <v>422</v>
      </c>
      <c r="D21" s="84">
        <v>8000</v>
      </c>
    </row>
    <row r="22" spans="1:4" s="544" customFormat="1" x14ac:dyDescent="0.35">
      <c r="C22" s="544" t="s">
        <v>423</v>
      </c>
      <c r="D22" s="84">
        <v>3000</v>
      </c>
    </row>
    <row r="23" spans="1:4" s="544" customFormat="1" x14ac:dyDescent="0.35">
      <c r="C23" s="544" t="s">
        <v>399</v>
      </c>
      <c r="D23" s="84">
        <v>800</v>
      </c>
    </row>
    <row r="24" spans="1:4" s="544" customFormat="1" x14ac:dyDescent="0.35">
      <c r="C24" s="544" t="s">
        <v>425</v>
      </c>
      <c r="D24" s="84">
        <v>1000</v>
      </c>
    </row>
    <row r="25" spans="1:4" s="544" customFormat="1" x14ac:dyDescent="0.35">
      <c r="D25" s="84"/>
    </row>
    <row r="26" spans="1:4" s="544" customFormat="1" x14ac:dyDescent="0.35">
      <c r="C26" s="329" t="s">
        <v>81</v>
      </c>
      <c r="D26" s="663">
        <f>SUM(D21:D24)</f>
        <v>12800</v>
      </c>
    </row>
    <row r="27" spans="1:4" s="544" customFormat="1" x14ac:dyDescent="0.35">
      <c r="A27" s="486"/>
      <c r="B27" s="486"/>
    </row>
    <row r="28" spans="1:4" s="544" customFormat="1" x14ac:dyDescent="0.35">
      <c r="A28" s="486" t="s">
        <v>428</v>
      </c>
      <c r="B28" s="486"/>
    </row>
    <row r="29" spans="1:4" s="544" customFormat="1" x14ac:dyDescent="0.35">
      <c r="A29" s="486"/>
      <c r="B29" s="486"/>
      <c r="C29" s="544" t="s">
        <v>429</v>
      </c>
      <c r="D29" s="544">
        <v>10</v>
      </c>
    </row>
    <row r="30" spans="1:4" s="544" customFormat="1" x14ac:dyDescent="0.35">
      <c r="A30" s="486"/>
      <c r="B30" s="486"/>
      <c r="C30" s="544" t="s">
        <v>430</v>
      </c>
      <c r="D30" s="590">
        <v>30</v>
      </c>
    </row>
    <row r="31" spans="1:4" s="544" customFormat="1" x14ac:dyDescent="0.35">
      <c r="A31" s="486"/>
      <c r="B31" s="486"/>
      <c r="C31" s="544" t="s">
        <v>431</v>
      </c>
      <c r="D31" s="544">
        <v>12</v>
      </c>
    </row>
    <row r="32" spans="1:4" s="544" customFormat="1" x14ac:dyDescent="0.35">
      <c r="A32" s="486"/>
      <c r="B32" s="486"/>
      <c r="C32" s="544" t="s">
        <v>450</v>
      </c>
      <c r="D32" s="424">
        <v>0.3</v>
      </c>
    </row>
    <row r="33" spans="1:5" s="544" customFormat="1" x14ac:dyDescent="0.35">
      <c r="A33" s="486"/>
      <c r="B33" s="486"/>
      <c r="C33" s="544" t="s">
        <v>432</v>
      </c>
      <c r="D33" s="455">
        <f>D29*D30*D31*(1+D32)</f>
        <v>4680</v>
      </c>
    </row>
    <row r="34" spans="1:5" s="544" customFormat="1" x14ac:dyDescent="0.35">
      <c r="A34" s="486"/>
      <c r="B34" s="486"/>
      <c r="C34" s="544" t="s">
        <v>425</v>
      </c>
      <c r="D34" s="455">
        <v>1000</v>
      </c>
    </row>
    <row r="35" spans="1:5" s="544" customFormat="1" x14ac:dyDescent="0.35">
      <c r="A35" s="486"/>
      <c r="B35" s="486"/>
    </row>
    <row r="36" spans="1:5" s="544" customFormat="1" x14ac:dyDescent="0.35">
      <c r="A36" s="486"/>
      <c r="B36" s="486"/>
      <c r="C36" s="329" t="s">
        <v>81</v>
      </c>
      <c r="D36" s="207">
        <f>D34+D33</f>
        <v>5680</v>
      </c>
    </row>
    <row r="37" spans="1:5" s="544" customFormat="1" x14ac:dyDescent="0.35">
      <c r="A37" s="486"/>
      <c r="B37" s="486"/>
      <c r="C37" s="545"/>
      <c r="D37" s="664"/>
    </row>
    <row r="38" spans="1:5" s="544" customFormat="1" x14ac:dyDescent="0.35">
      <c r="A38" s="486" t="s">
        <v>446</v>
      </c>
      <c r="B38" s="486"/>
      <c r="C38" s="545"/>
      <c r="D38" s="665" t="s">
        <v>447</v>
      </c>
      <c r="E38" s="99"/>
    </row>
    <row r="39" spans="1:5" s="544" customFormat="1" x14ac:dyDescent="0.35">
      <c r="A39" s="486"/>
      <c r="B39" s="460" t="s">
        <v>38</v>
      </c>
      <c r="C39" s="545"/>
      <c r="D39" s="664"/>
    </row>
    <row r="40" spans="1:5" s="544" customFormat="1" x14ac:dyDescent="0.35">
      <c r="A40" s="486"/>
      <c r="B40" s="486"/>
      <c r="C40" s="545" t="s">
        <v>448</v>
      </c>
      <c r="D40" s="666">
        <v>0.13</v>
      </c>
    </row>
    <row r="41" spans="1:5" s="544" customFormat="1" x14ac:dyDescent="0.35">
      <c r="A41" s="486"/>
      <c r="B41" s="486"/>
      <c r="C41" s="547" t="s">
        <v>317</v>
      </c>
      <c r="D41" s="666">
        <v>0.2</v>
      </c>
    </row>
    <row r="42" spans="1:5" s="544" customFormat="1" x14ac:dyDescent="0.35">
      <c r="A42" s="486"/>
      <c r="B42" s="486"/>
      <c r="C42" s="547" t="s">
        <v>34</v>
      </c>
      <c r="D42" s="666">
        <v>0.1</v>
      </c>
    </row>
    <row r="43" spans="1:5" s="544" customFormat="1" x14ac:dyDescent="0.35">
      <c r="A43" s="486"/>
      <c r="B43" s="486"/>
      <c r="C43" s="547" t="s">
        <v>39</v>
      </c>
      <c r="D43" s="666">
        <v>0.13</v>
      </c>
    </row>
    <row r="44" spans="1:5" s="544" customFormat="1" x14ac:dyDescent="0.35">
      <c r="A44" s="486"/>
      <c r="B44" s="486"/>
      <c r="C44" s="547" t="s">
        <v>41</v>
      </c>
      <c r="D44" s="666">
        <v>7.0000000000000007E-2</v>
      </c>
    </row>
    <row r="45" spans="1:5" s="544" customFormat="1" x14ac:dyDescent="0.35">
      <c r="A45" s="486"/>
      <c r="B45" s="486"/>
      <c r="C45" s="545"/>
      <c r="D45" s="664"/>
    </row>
    <row r="46" spans="1:5" s="544" customFormat="1" x14ac:dyDescent="0.35">
      <c r="A46" s="486"/>
      <c r="B46" s="220" t="s">
        <v>81</v>
      </c>
      <c r="C46" s="220"/>
      <c r="D46" s="667">
        <f>SUM(D40:D44)</f>
        <v>0.63000000000000012</v>
      </c>
    </row>
    <row r="47" spans="1:5" s="544" customFormat="1" x14ac:dyDescent="0.35">
      <c r="A47" s="486"/>
      <c r="B47" s="486"/>
      <c r="C47" s="545"/>
      <c r="D47" s="664"/>
    </row>
    <row r="48" spans="1:5" s="544" customFormat="1" x14ac:dyDescent="0.35">
      <c r="A48" s="486" t="s">
        <v>442</v>
      </c>
    </row>
    <row r="49" spans="1:7" s="544" customFormat="1" x14ac:dyDescent="0.35">
      <c r="B49" s="544" t="s">
        <v>434</v>
      </c>
      <c r="D49" s="544">
        <v>0.1</v>
      </c>
    </row>
    <row r="50" spans="1:7" s="544" customFormat="1" x14ac:dyDescent="0.35">
      <c r="B50" s="544" t="s">
        <v>435</v>
      </c>
      <c r="D50" s="544">
        <v>0.25</v>
      </c>
    </row>
    <row r="51" spans="1:7" s="544" customFormat="1" x14ac:dyDescent="0.35"/>
    <row r="52" spans="1:7" s="544" customFormat="1" x14ac:dyDescent="0.35">
      <c r="B52" s="544" t="s">
        <v>81</v>
      </c>
      <c r="D52" s="544">
        <f>D49+D50</f>
        <v>0.35</v>
      </c>
    </row>
    <row r="53" spans="1:7" s="544" customFormat="1" x14ac:dyDescent="0.35"/>
    <row r="54" spans="1:7" s="544" customFormat="1" x14ac:dyDescent="0.35">
      <c r="D54" s="544" t="s">
        <v>96</v>
      </c>
      <c r="E54" s="544" t="s">
        <v>86</v>
      </c>
      <c r="F54" s="544" t="s">
        <v>87</v>
      </c>
      <c r="G54" s="544" t="s">
        <v>88</v>
      </c>
    </row>
    <row r="55" spans="1:7" s="544" customFormat="1" x14ac:dyDescent="0.35">
      <c r="B55" s="544" t="s">
        <v>436</v>
      </c>
      <c r="D55" s="544">
        <f>D52*1</f>
        <v>0.35</v>
      </c>
      <c r="E55" s="544">
        <f>D55*10</f>
        <v>3.5</v>
      </c>
      <c r="F55" s="544">
        <f>D55*50</f>
        <v>17.5</v>
      </c>
      <c r="G55" s="544">
        <f>D55*100</f>
        <v>35</v>
      </c>
    </row>
    <row r="56" spans="1:7" s="544" customFormat="1" x14ac:dyDescent="0.35">
      <c r="B56" s="544" t="s">
        <v>421</v>
      </c>
      <c r="D56" s="522">
        <f>D17</f>
        <v>16300</v>
      </c>
      <c r="E56" s="522">
        <f>D17</f>
        <v>16300</v>
      </c>
      <c r="F56" s="522">
        <f>D36</f>
        <v>5680</v>
      </c>
      <c r="G56" s="522">
        <f t="shared" ref="G56" si="1">F56</f>
        <v>5680</v>
      </c>
    </row>
    <row r="57" spans="1:7" s="544" customFormat="1" x14ac:dyDescent="0.35">
      <c r="B57" s="544" t="s">
        <v>437</v>
      </c>
      <c r="D57" s="522">
        <f>D56*D55</f>
        <v>5705</v>
      </c>
      <c r="E57" s="522">
        <f t="shared" ref="E57:G57" si="2">E56*E55</f>
        <v>57050</v>
      </c>
      <c r="F57" s="522">
        <f t="shared" si="2"/>
        <v>99400</v>
      </c>
      <c r="G57" s="522">
        <f t="shared" si="2"/>
        <v>198800</v>
      </c>
    </row>
    <row r="58" spans="1:7" s="544" customFormat="1" x14ac:dyDescent="0.35"/>
    <row r="59" spans="1:7" s="544" customFormat="1" x14ac:dyDescent="0.35">
      <c r="A59" s="486" t="s">
        <v>443</v>
      </c>
    </row>
    <row r="60" spans="1:7" s="544" customFormat="1" x14ac:dyDescent="0.35">
      <c r="B60" s="544" t="s">
        <v>439</v>
      </c>
      <c r="D60" s="544">
        <v>1</v>
      </c>
    </row>
    <row r="61" spans="1:7" s="544" customFormat="1" x14ac:dyDescent="0.35">
      <c r="B61" s="544" t="s">
        <v>433</v>
      </c>
      <c r="D61" s="544">
        <v>0.5</v>
      </c>
    </row>
    <row r="62" spans="1:7" s="544" customFormat="1" x14ac:dyDescent="0.35">
      <c r="B62" s="544" t="s">
        <v>440</v>
      </c>
      <c r="D62" s="544">
        <v>2</v>
      </c>
    </row>
    <row r="63" spans="1:7" s="544" customFormat="1" x14ac:dyDescent="0.35">
      <c r="B63" s="544" t="s">
        <v>444</v>
      </c>
      <c r="D63" s="668">
        <f>D46</f>
        <v>0.63000000000000012</v>
      </c>
    </row>
    <row r="64" spans="1:7" s="544" customFormat="1" x14ac:dyDescent="0.35"/>
    <row r="65" spans="1:7" s="544" customFormat="1" x14ac:dyDescent="0.35">
      <c r="B65" s="544" t="s">
        <v>81</v>
      </c>
      <c r="D65" s="288">
        <f>D60/D62+D61+D63</f>
        <v>1.6300000000000001</v>
      </c>
    </row>
    <row r="66" spans="1:7" s="544" customFormat="1" x14ac:dyDescent="0.35"/>
    <row r="67" spans="1:7" s="544" customFormat="1" x14ac:dyDescent="0.35">
      <c r="D67" s="544" t="s">
        <v>96</v>
      </c>
      <c r="E67" s="544" t="s">
        <v>86</v>
      </c>
      <c r="F67" s="544" t="s">
        <v>87</v>
      </c>
      <c r="G67" s="544" t="s">
        <v>88</v>
      </c>
    </row>
    <row r="68" spans="1:7" s="544" customFormat="1" x14ac:dyDescent="0.35">
      <c r="B68" s="544" t="s">
        <v>441</v>
      </c>
      <c r="D68" s="288">
        <f>D65</f>
        <v>1.6300000000000001</v>
      </c>
      <c r="E68" s="544">
        <f>D68*10</f>
        <v>16.3</v>
      </c>
      <c r="F68" s="544">
        <f>E68*5</f>
        <v>81.5</v>
      </c>
      <c r="G68" s="544">
        <f>F68*2</f>
        <v>163</v>
      </c>
    </row>
    <row r="69" spans="1:7" s="544" customFormat="1" x14ac:dyDescent="0.35">
      <c r="B69" s="544" t="s">
        <v>421</v>
      </c>
      <c r="D69" s="522">
        <f>D26</f>
        <v>12800</v>
      </c>
      <c r="E69" s="522">
        <f>D69</f>
        <v>12800</v>
      </c>
      <c r="F69" s="522">
        <f>D36</f>
        <v>5680</v>
      </c>
      <c r="G69" s="522">
        <f t="shared" ref="G69" si="3">F69</f>
        <v>5680</v>
      </c>
    </row>
    <row r="70" spans="1:7" s="544" customFormat="1" x14ac:dyDescent="0.35">
      <c r="B70" s="544" t="s">
        <v>437</v>
      </c>
      <c r="D70" s="522">
        <f>D69*D68</f>
        <v>20864</v>
      </c>
      <c r="E70" s="522">
        <f t="shared" ref="E70:G70" si="4">E69*E68</f>
        <v>208640</v>
      </c>
      <c r="F70" s="522">
        <f t="shared" si="4"/>
        <v>462920</v>
      </c>
      <c r="G70" s="522">
        <f t="shared" si="4"/>
        <v>925840</v>
      </c>
    </row>
    <row r="71" spans="1:7" s="544" customFormat="1" x14ac:dyDescent="0.35">
      <c r="D71" s="522"/>
      <c r="E71" s="522"/>
      <c r="F71" s="522"/>
      <c r="G71" s="522"/>
    </row>
    <row r="72" spans="1:7" s="544" customFormat="1" x14ac:dyDescent="0.35">
      <c r="B72" s="329" t="s">
        <v>445</v>
      </c>
      <c r="C72" s="329"/>
      <c r="D72" s="332">
        <f>D70+D57</f>
        <v>26569</v>
      </c>
      <c r="E72" s="332">
        <f t="shared" ref="E72:G72" si="5">E70+E57</f>
        <v>265690</v>
      </c>
      <c r="F72" s="332">
        <f t="shared" si="5"/>
        <v>562320</v>
      </c>
      <c r="G72" s="332">
        <f t="shared" si="5"/>
        <v>1124640</v>
      </c>
    </row>
    <row r="73" spans="1:7" s="544" customFormat="1" x14ac:dyDescent="0.35">
      <c r="D73" s="522"/>
      <c r="E73" s="522"/>
      <c r="F73" s="522"/>
      <c r="G73" s="522"/>
    </row>
    <row r="74" spans="1:7" s="544" customFormat="1" x14ac:dyDescent="0.35">
      <c r="D74" s="522"/>
      <c r="E74" s="522"/>
      <c r="F74" s="522"/>
      <c r="G74" s="522"/>
    </row>
    <row r="75" spans="1:7" s="544" customFormat="1" x14ac:dyDescent="0.35">
      <c r="A75" s="486" t="s">
        <v>144</v>
      </c>
      <c r="D75" s="522"/>
      <c r="E75" s="522"/>
      <c r="F75" s="522"/>
      <c r="G75" s="522"/>
    </row>
    <row r="76" spans="1:7" s="544" customFormat="1" x14ac:dyDescent="0.35">
      <c r="A76" s="544">
        <v>2.2999999999999998</v>
      </c>
      <c r="B76" s="544" t="s">
        <v>500</v>
      </c>
      <c r="D76" s="522"/>
      <c r="E76" s="522"/>
      <c r="F76" s="522"/>
      <c r="G76" s="522"/>
    </row>
    <row r="78" spans="1:7" s="544" customFormat="1" x14ac:dyDescent="0.35"/>
    <row r="79" spans="1:7" x14ac:dyDescent="0.35">
      <c r="A79" s="437" t="s">
        <v>232</v>
      </c>
      <c r="B79" s="486"/>
    </row>
    <row r="80" spans="1:7" x14ac:dyDescent="0.35">
      <c r="A80">
        <v>2.2999999999999998</v>
      </c>
      <c r="B80" s="544" t="s">
        <v>308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31"/>
  <sheetViews>
    <sheetView zoomScale="70" zoomScaleNormal="70" workbookViewId="0">
      <selection activeCell="A24" sqref="A24"/>
    </sheetView>
  </sheetViews>
  <sheetFormatPr defaultRowHeight="14.5" x14ac:dyDescent="0.35"/>
  <cols>
    <col min="1" max="1" width="5.453125" customWidth="1"/>
    <col min="2" max="2" width="21.453125" customWidth="1"/>
    <col min="3" max="3" width="16.453125" customWidth="1"/>
    <col min="4" max="5" width="14" bestFit="1" customWidth="1"/>
    <col min="6" max="6" width="13.54296875" bestFit="1" customWidth="1"/>
    <col min="7" max="7" width="11.453125" bestFit="1" customWidth="1"/>
    <col min="8" max="8" width="11.08984375" bestFit="1" customWidth="1"/>
    <col min="10" max="10" width="9.08984375" style="71"/>
    <col min="15" max="16" width="11.453125" customWidth="1"/>
    <col min="17" max="17" width="11" customWidth="1"/>
    <col min="18" max="18" width="12.453125" customWidth="1"/>
  </cols>
  <sheetData>
    <row r="1" spans="1:19" x14ac:dyDescent="0.35">
      <c r="A1" s="486" t="s">
        <v>395</v>
      </c>
    </row>
    <row r="2" spans="1:19" s="58" customFormat="1" x14ac:dyDescent="0.35">
      <c r="J2" s="71"/>
    </row>
    <row r="3" spans="1:19" s="58" customFormat="1" x14ac:dyDescent="0.35">
      <c r="A3" s="59" t="s">
        <v>108</v>
      </c>
      <c r="D3" s="58" t="s">
        <v>66</v>
      </c>
      <c r="E3" s="58">
        <v>1</v>
      </c>
      <c r="F3" s="58">
        <v>10</v>
      </c>
      <c r="G3" s="58">
        <v>50</v>
      </c>
      <c r="H3" s="58">
        <v>100</v>
      </c>
      <c r="J3" s="71"/>
    </row>
    <row r="4" spans="1:19" s="58" customFormat="1" x14ac:dyDescent="0.35">
      <c r="B4" s="58">
        <v>2.4</v>
      </c>
      <c r="C4" s="58" t="s">
        <v>55</v>
      </c>
      <c r="E4" s="522">
        <f>R15+C20</f>
        <v>141561</v>
      </c>
      <c r="F4" s="522">
        <f>Q15+C21</f>
        <v>399936</v>
      </c>
      <c r="G4" s="522">
        <f>P15+C21</f>
        <v>454692</v>
      </c>
      <c r="H4" s="522">
        <f>O15+C21</f>
        <v>674634</v>
      </c>
      <c r="J4" s="71"/>
    </row>
    <row r="5" spans="1:19" s="58" customFormat="1" x14ac:dyDescent="0.35">
      <c r="J5" s="71"/>
    </row>
    <row r="6" spans="1:19" s="58" customFormat="1" x14ac:dyDescent="0.35">
      <c r="J6" s="71"/>
    </row>
    <row r="7" spans="1:19" s="58" customFormat="1" x14ac:dyDescent="0.35">
      <c r="A7" s="486" t="s">
        <v>466</v>
      </c>
      <c r="J7" s="71"/>
    </row>
    <row r="8" spans="1:19" ht="15.5" x14ac:dyDescent="0.35">
      <c r="B8" s="621"/>
      <c r="C8" s="622" t="s">
        <v>400</v>
      </c>
      <c r="D8" s="622" t="s">
        <v>401</v>
      </c>
      <c r="E8" s="623"/>
      <c r="F8" s="624"/>
      <c r="G8" s="625" t="s">
        <v>402</v>
      </c>
      <c r="H8" s="626"/>
      <c r="I8" s="627"/>
      <c r="J8" s="626"/>
      <c r="K8" s="628" t="s">
        <v>403</v>
      </c>
      <c r="L8" s="626"/>
      <c r="M8" s="627"/>
      <c r="N8" s="544" t="s">
        <v>404</v>
      </c>
      <c r="O8" s="544" t="s">
        <v>88</v>
      </c>
      <c r="P8" s="544" t="s">
        <v>87</v>
      </c>
      <c r="Q8" s="544" t="s">
        <v>86</v>
      </c>
      <c r="R8" s="544" t="s">
        <v>96</v>
      </c>
    </row>
    <row r="9" spans="1:19" ht="15" thickBot="1" x14ac:dyDescent="0.4">
      <c r="A9" s="518"/>
      <c r="B9" s="629"/>
      <c r="C9" s="630" t="s">
        <v>405</v>
      </c>
      <c r="D9" s="630" t="s">
        <v>406</v>
      </c>
      <c r="E9" s="631" t="s">
        <v>81</v>
      </c>
      <c r="F9" s="632" t="s">
        <v>407</v>
      </c>
      <c r="G9" s="633" t="s">
        <v>408</v>
      </c>
      <c r="H9" s="633" t="s">
        <v>409</v>
      </c>
      <c r="I9" s="634" t="s">
        <v>410</v>
      </c>
      <c r="J9" s="635" t="s">
        <v>407</v>
      </c>
      <c r="K9" s="633" t="s">
        <v>408</v>
      </c>
      <c r="L9" s="633" t="s">
        <v>409</v>
      </c>
      <c r="M9" s="634" t="s">
        <v>410</v>
      </c>
      <c r="N9" s="544"/>
      <c r="O9" s="544"/>
      <c r="P9" s="544"/>
      <c r="Q9" s="544"/>
      <c r="R9" s="544"/>
      <c r="S9" s="518"/>
    </row>
    <row r="10" spans="1:19" ht="15" thickTop="1" x14ac:dyDescent="0.35">
      <c r="A10" s="518"/>
      <c r="B10" s="636" t="s">
        <v>411</v>
      </c>
      <c r="C10" s="637">
        <v>85000</v>
      </c>
      <c r="D10" s="638">
        <v>35</v>
      </c>
      <c r="E10" s="639">
        <v>114750.00000000001</v>
      </c>
      <c r="F10" s="640">
        <v>1</v>
      </c>
      <c r="G10" s="638">
        <v>1</v>
      </c>
      <c r="H10" s="638">
        <v>1</v>
      </c>
      <c r="I10" s="638">
        <v>1</v>
      </c>
      <c r="J10" s="641">
        <v>114750.00000000001</v>
      </c>
      <c r="K10" s="642">
        <v>114750.00000000001</v>
      </c>
      <c r="L10" s="642">
        <v>114750.00000000001</v>
      </c>
      <c r="M10" s="643">
        <v>114750.00000000001</v>
      </c>
      <c r="N10" s="495">
        <f>AVERAGE(J10:M10)</f>
        <v>114750.00000000001</v>
      </c>
      <c r="O10" s="495">
        <f>N10</f>
        <v>114750.00000000001</v>
      </c>
      <c r="P10" s="495">
        <f>O10</f>
        <v>114750.00000000001</v>
      </c>
      <c r="Q10" s="495">
        <f>P10</f>
        <v>114750.00000000001</v>
      </c>
      <c r="R10" s="495">
        <v>0</v>
      </c>
      <c r="S10" s="518"/>
    </row>
    <row r="11" spans="1:19" x14ac:dyDescent="0.35">
      <c r="A11" s="518"/>
      <c r="B11" s="636" t="s">
        <v>412</v>
      </c>
      <c r="C11" s="644">
        <v>35000</v>
      </c>
      <c r="D11" s="645">
        <v>35</v>
      </c>
      <c r="E11" s="639">
        <v>47250</v>
      </c>
      <c r="F11" s="646">
        <v>2</v>
      </c>
      <c r="G11" s="645">
        <v>2</v>
      </c>
      <c r="H11" s="645">
        <v>2</v>
      </c>
      <c r="I11" s="645">
        <v>2</v>
      </c>
      <c r="J11" s="647">
        <v>94500</v>
      </c>
      <c r="K11" s="642">
        <v>94500</v>
      </c>
      <c r="L11" s="642">
        <v>94500</v>
      </c>
      <c r="M11" s="643">
        <v>94500</v>
      </c>
      <c r="N11" s="495">
        <f t="shared" ref="N11:N13" si="0">AVERAGE(J11:M11)</f>
        <v>94500</v>
      </c>
      <c r="O11" s="495">
        <f t="shared" ref="O11:O13" si="1">N11</f>
        <v>94500</v>
      </c>
      <c r="P11" s="544">
        <f>O11/2</f>
        <v>47250</v>
      </c>
      <c r="Q11" s="544">
        <f>P11</f>
        <v>47250</v>
      </c>
      <c r="R11" s="544">
        <f>Q11/2</f>
        <v>23625</v>
      </c>
      <c r="S11" s="518"/>
    </row>
    <row r="12" spans="1:19" x14ac:dyDescent="0.35">
      <c r="A12" s="518"/>
      <c r="B12" s="636" t="s">
        <v>413</v>
      </c>
      <c r="C12" s="648">
        <v>18</v>
      </c>
      <c r="D12" s="645">
        <v>35</v>
      </c>
      <c r="E12" s="649">
        <v>24.3</v>
      </c>
      <c r="F12" s="645">
        <v>1</v>
      </c>
      <c r="G12" s="645">
        <v>2</v>
      </c>
      <c r="H12" s="645">
        <v>3</v>
      </c>
      <c r="I12" s="645">
        <v>4</v>
      </c>
      <c r="J12" s="641">
        <v>50544</v>
      </c>
      <c r="K12" s="642">
        <v>101088</v>
      </c>
      <c r="L12" s="642">
        <v>151632</v>
      </c>
      <c r="M12" s="643">
        <v>202176</v>
      </c>
      <c r="N12" s="495">
        <f t="shared" si="0"/>
        <v>126360</v>
      </c>
      <c r="O12" s="495">
        <f t="shared" si="1"/>
        <v>126360</v>
      </c>
      <c r="P12" s="544">
        <f>O12/2</f>
        <v>63180</v>
      </c>
      <c r="Q12" s="495">
        <f>J12</f>
        <v>50544</v>
      </c>
      <c r="R12" s="495">
        <f>Q12</f>
        <v>50544</v>
      </c>
      <c r="S12" s="518"/>
    </row>
    <row r="13" spans="1:19" x14ac:dyDescent="0.35">
      <c r="A13" s="518"/>
      <c r="B13" s="636" t="s">
        <v>414</v>
      </c>
      <c r="C13" s="648">
        <v>12</v>
      </c>
      <c r="D13" s="645">
        <v>35</v>
      </c>
      <c r="E13" s="649">
        <v>16.200000000000003</v>
      </c>
      <c r="F13" s="645">
        <v>4</v>
      </c>
      <c r="G13" s="645">
        <v>6</v>
      </c>
      <c r="H13" s="645">
        <v>7</v>
      </c>
      <c r="I13" s="645">
        <v>9</v>
      </c>
      <c r="J13" s="650">
        <v>134784.00000000003</v>
      </c>
      <c r="K13" s="651">
        <v>202176.00000000003</v>
      </c>
      <c r="L13" s="651">
        <v>235872.00000000003</v>
      </c>
      <c r="M13" s="652">
        <v>303264</v>
      </c>
      <c r="N13" s="495">
        <f t="shared" si="0"/>
        <v>219024.00000000003</v>
      </c>
      <c r="O13" s="495">
        <f t="shared" si="1"/>
        <v>219024.00000000003</v>
      </c>
      <c r="P13" s="544">
        <f>O13/2</f>
        <v>109512.00000000001</v>
      </c>
      <c r="Q13" s="544">
        <f>J13/2</f>
        <v>67392.000000000015</v>
      </c>
      <c r="R13" s="544">
        <f>Q13</f>
        <v>67392.000000000015</v>
      </c>
      <c r="S13" s="518"/>
    </row>
    <row r="14" spans="1:19" x14ac:dyDescent="0.35">
      <c r="A14" s="518"/>
      <c r="B14" s="653" t="s">
        <v>97</v>
      </c>
      <c r="C14" s="654"/>
      <c r="D14" s="655"/>
      <c r="E14" s="656"/>
      <c r="F14" s="657"/>
      <c r="G14" s="658"/>
      <c r="H14" s="658"/>
      <c r="I14" s="659"/>
      <c r="J14" s="660">
        <v>394578</v>
      </c>
      <c r="K14" s="661">
        <v>512514</v>
      </c>
      <c r="L14" s="661">
        <v>596754</v>
      </c>
      <c r="M14" s="661">
        <v>714690</v>
      </c>
      <c r="N14" s="544"/>
      <c r="O14" s="544"/>
      <c r="P14" s="544"/>
      <c r="Q14" s="544"/>
      <c r="R14" s="544"/>
      <c r="S14" s="518"/>
    </row>
    <row r="15" spans="1:19" x14ac:dyDescent="0.35">
      <c r="A15" s="518"/>
      <c r="B15" s="544"/>
      <c r="C15" s="544"/>
      <c r="D15" s="544"/>
      <c r="E15" s="544"/>
      <c r="F15" s="544"/>
      <c r="G15" s="544"/>
      <c r="H15" s="544"/>
      <c r="I15" s="544"/>
      <c r="J15" s="544"/>
      <c r="K15" s="544"/>
      <c r="L15" s="544"/>
      <c r="M15" s="495">
        <f>AVERAGE(J14:M14)</f>
        <v>554634</v>
      </c>
      <c r="N15" s="544"/>
      <c r="O15" s="662">
        <f>SUM(O10:O13)</f>
        <v>554634</v>
      </c>
      <c r="P15" s="662">
        <f t="shared" ref="P15:R15" si="2">SUM(P10:P13)</f>
        <v>334692</v>
      </c>
      <c r="Q15" s="662">
        <f t="shared" si="2"/>
        <v>279936</v>
      </c>
      <c r="R15" s="662">
        <f t="shared" si="2"/>
        <v>141561</v>
      </c>
      <c r="S15" s="518"/>
    </row>
    <row r="16" spans="1:19" x14ac:dyDescent="0.35">
      <c r="A16" s="518"/>
      <c r="B16" s="515"/>
      <c r="C16" s="512"/>
      <c r="D16" s="514"/>
      <c r="E16" s="511"/>
      <c r="F16" s="514"/>
      <c r="G16" s="514"/>
      <c r="H16" s="514"/>
      <c r="I16" s="514"/>
      <c r="J16" s="513"/>
      <c r="K16" s="513"/>
      <c r="L16" s="513"/>
      <c r="M16" s="513"/>
      <c r="N16" s="85"/>
      <c r="O16" s="85"/>
      <c r="P16" s="518"/>
      <c r="Q16" s="518"/>
      <c r="R16" s="518"/>
      <c r="S16" s="518"/>
    </row>
    <row r="17" spans="1:19" x14ac:dyDescent="0.35">
      <c r="A17" s="519" t="s">
        <v>415</v>
      </c>
      <c r="B17" s="510"/>
      <c r="C17" s="469"/>
      <c r="D17" s="516"/>
      <c r="E17" s="511"/>
      <c r="F17" s="472"/>
      <c r="G17" s="472"/>
      <c r="H17" s="472"/>
      <c r="I17" s="472"/>
      <c r="J17" s="475"/>
      <c r="K17" s="476"/>
      <c r="L17" s="476"/>
      <c r="M17" s="476"/>
      <c r="N17" s="518"/>
      <c r="O17" s="518"/>
      <c r="P17" s="518"/>
      <c r="Q17" s="518"/>
      <c r="R17" s="518"/>
      <c r="S17" s="518"/>
    </row>
    <row r="18" spans="1:19" x14ac:dyDescent="0.35">
      <c r="A18" s="518"/>
      <c r="B18" s="518" t="s">
        <v>416</v>
      </c>
      <c r="C18" s="518">
        <f>5000*12</f>
        <v>60000</v>
      </c>
      <c r="D18" s="518"/>
      <c r="E18" s="518"/>
      <c r="F18" s="518"/>
      <c r="G18" s="518"/>
      <c r="H18" s="518"/>
      <c r="I18" s="518"/>
      <c r="J18" s="518"/>
      <c r="K18" s="518"/>
      <c r="L18" s="518"/>
      <c r="M18" s="85"/>
      <c r="N18" s="518"/>
      <c r="O18" s="473"/>
      <c r="P18" s="473"/>
      <c r="Q18" s="473"/>
      <c r="R18" s="473"/>
      <c r="S18" s="518"/>
    </row>
    <row r="19" spans="1:19" x14ac:dyDescent="0.35">
      <c r="A19" s="518"/>
      <c r="B19" s="518" t="s">
        <v>417</v>
      </c>
      <c r="C19" s="518">
        <f>5000*12</f>
        <v>60000</v>
      </c>
      <c r="D19" s="518"/>
      <c r="E19" s="518"/>
      <c r="F19" s="518"/>
      <c r="G19" s="518"/>
      <c r="H19" s="518"/>
      <c r="I19" s="518"/>
      <c r="J19" s="518"/>
      <c r="K19" s="518"/>
      <c r="L19" s="518"/>
      <c r="M19" s="518"/>
      <c r="N19" s="518"/>
      <c r="O19" s="518"/>
      <c r="P19" s="518"/>
      <c r="Q19" s="518"/>
      <c r="R19" s="518"/>
      <c r="S19" s="518"/>
    </row>
    <row r="20" spans="1:19" s="71" customFormat="1" x14ac:dyDescent="0.35">
      <c r="A20" s="518"/>
      <c r="B20" s="519"/>
      <c r="C20" s="518"/>
      <c r="D20" s="518"/>
      <c r="E20" s="518"/>
      <c r="F20" s="518"/>
      <c r="G20" s="518"/>
      <c r="H20" s="518"/>
      <c r="I20" s="518"/>
      <c r="J20" s="518"/>
      <c r="K20" s="518"/>
      <c r="L20" s="518"/>
      <c r="M20" s="518"/>
      <c r="N20" s="518"/>
      <c r="O20" s="518"/>
      <c r="P20" s="518"/>
      <c r="Q20" s="518"/>
      <c r="R20" s="518"/>
      <c r="S20" s="518"/>
    </row>
    <row r="21" spans="1:19" s="71" customFormat="1" x14ac:dyDescent="0.35">
      <c r="A21" s="518"/>
      <c r="B21" s="79" t="s">
        <v>81</v>
      </c>
      <c r="C21" s="79">
        <f>C19+C18</f>
        <v>120000</v>
      </c>
      <c r="D21" s="518"/>
      <c r="E21" s="518"/>
      <c r="F21" s="518"/>
      <c r="G21" s="518"/>
      <c r="H21" s="518"/>
      <c r="I21" s="518"/>
      <c r="J21" s="518"/>
      <c r="K21" s="518"/>
      <c r="L21" s="518"/>
      <c r="M21" s="518"/>
      <c r="N21" s="518"/>
      <c r="O21" s="518"/>
      <c r="P21" s="518"/>
      <c r="Q21" s="518"/>
      <c r="R21" s="518"/>
      <c r="S21" s="518"/>
    </row>
    <row r="22" spans="1:19" s="71" customFormat="1" x14ac:dyDescent="0.35">
      <c r="A22" s="518"/>
      <c r="B22" s="518"/>
      <c r="C22" s="518"/>
      <c r="D22" s="518"/>
      <c r="E22" s="518"/>
      <c r="F22" s="518"/>
      <c r="G22" s="518"/>
      <c r="H22" s="518"/>
      <c r="I22" s="518"/>
      <c r="J22" s="518"/>
      <c r="K22" s="518"/>
      <c r="L22" s="518"/>
      <c r="M22" s="518"/>
      <c r="N22" s="518"/>
      <c r="O22" s="518"/>
      <c r="P22" s="518"/>
      <c r="Q22" s="518"/>
      <c r="R22" s="518"/>
      <c r="S22" s="518"/>
    </row>
    <row r="23" spans="1:19" s="71" customFormat="1" x14ac:dyDescent="0.35">
      <c r="B23" s="547"/>
    </row>
    <row r="24" spans="1:19" s="293" customFormat="1" x14ac:dyDescent="0.35">
      <c r="A24" s="211" t="s">
        <v>144</v>
      </c>
      <c r="B24" s="546"/>
    </row>
    <row r="25" spans="1:19" s="293" customFormat="1" x14ac:dyDescent="0.35">
      <c r="A25" s="293">
        <v>2.4</v>
      </c>
      <c r="B25" s="724" t="s">
        <v>496</v>
      </c>
    </row>
    <row r="26" spans="1:19" s="293" customFormat="1" x14ac:dyDescent="0.35">
      <c r="B26" s="546"/>
    </row>
    <row r="27" spans="1:19" s="293" customFormat="1" x14ac:dyDescent="0.35">
      <c r="A27" s="211" t="s">
        <v>232</v>
      </c>
    </row>
    <row r="28" spans="1:19" s="293" customFormat="1" x14ac:dyDescent="0.35">
      <c r="A28" s="293">
        <v>2.4</v>
      </c>
      <c r="B28" s="725" t="s">
        <v>497</v>
      </c>
    </row>
    <row r="29" spans="1:19" s="293" customFormat="1" x14ac:dyDescent="0.35"/>
    <row r="30" spans="1:19" s="71" customFormat="1" x14ac:dyDescent="0.35">
      <c r="B30" s="252"/>
    </row>
    <row r="31" spans="1:19" x14ac:dyDescent="0.35">
      <c r="B31" s="294"/>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14"/>
  <sheetViews>
    <sheetView zoomScale="70" zoomScaleNormal="70" workbookViewId="0">
      <selection activeCell="H7" sqref="H7"/>
    </sheetView>
  </sheetViews>
  <sheetFormatPr defaultRowHeight="14.5" x14ac:dyDescent="0.35"/>
  <cols>
    <col min="1" max="1" width="4.6328125" customWidth="1"/>
    <col min="2" max="2" width="5.90625" customWidth="1"/>
    <col min="3" max="3" width="26.90625" customWidth="1"/>
    <col min="4" max="4" width="23" customWidth="1"/>
    <col min="5" max="5" width="23.453125" customWidth="1"/>
    <col min="6" max="6" width="16.90625" customWidth="1"/>
    <col min="7" max="7" width="14.6328125" bestFit="1" customWidth="1"/>
    <col min="8" max="8" width="15.08984375" style="71" bestFit="1" customWidth="1"/>
    <col min="9" max="9" width="20" style="71" customWidth="1"/>
    <col min="10" max="10" width="14.453125" style="71" customWidth="1"/>
    <col min="11" max="11" width="13.08984375" customWidth="1"/>
    <col min="12" max="12" width="14.54296875" customWidth="1"/>
    <col min="13" max="13" width="17.08984375" customWidth="1"/>
    <col min="14" max="14" width="20" customWidth="1"/>
    <col min="15" max="15" width="14.90625" customWidth="1"/>
    <col min="16" max="16" width="13.36328125" customWidth="1"/>
    <col min="17" max="17" width="10.6328125" customWidth="1"/>
    <col min="18" max="18" width="11.453125" customWidth="1"/>
    <col min="19" max="19" width="12.6328125" customWidth="1"/>
    <col min="20" max="20" width="12.453125" customWidth="1"/>
    <col min="21" max="21" width="11.453125" customWidth="1"/>
    <col min="22" max="22" width="16.08984375" customWidth="1"/>
    <col min="23" max="23" width="13.6328125" customWidth="1"/>
  </cols>
  <sheetData>
    <row r="1" spans="1:17" x14ac:dyDescent="0.35">
      <c r="A1" s="486" t="s">
        <v>396</v>
      </c>
      <c r="C1" s="37"/>
      <c r="D1" s="37"/>
      <c r="E1" s="37"/>
      <c r="F1" s="37"/>
    </row>
    <row r="2" spans="1:17" s="71" customFormat="1" x14ac:dyDescent="0.35">
      <c r="A2" s="59"/>
    </row>
    <row r="3" spans="1:17" x14ac:dyDescent="0.35">
      <c r="E3" s="907" t="s">
        <v>137</v>
      </c>
      <c r="F3" s="907"/>
      <c r="G3" s="907"/>
      <c r="H3" s="907"/>
    </row>
    <row r="4" spans="1:17" x14ac:dyDescent="0.35">
      <c r="A4" s="59" t="s">
        <v>108</v>
      </c>
      <c r="E4" s="46">
        <v>1</v>
      </c>
      <c r="F4" s="46">
        <v>10</v>
      </c>
      <c r="G4" s="46">
        <v>50</v>
      </c>
      <c r="H4" s="46">
        <v>100</v>
      </c>
      <c r="I4" s="63"/>
      <c r="J4" s="63"/>
    </row>
    <row r="5" spans="1:17" x14ac:dyDescent="0.35">
      <c r="B5">
        <v>2.5</v>
      </c>
      <c r="C5" t="s">
        <v>56</v>
      </c>
      <c r="E5" s="41">
        <f>D86*E4</f>
        <v>50678.218754930647</v>
      </c>
      <c r="F5" s="522">
        <f t="shared" ref="F5:H5" si="0">E86*F4</f>
        <v>462735.74837298179</v>
      </c>
      <c r="G5" s="522">
        <f t="shared" si="0"/>
        <v>2171210.477845496</v>
      </c>
      <c r="H5" s="522">
        <f t="shared" si="0"/>
        <v>3920874.9000000004</v>
      </c>
      <c r="I5" s="45"/>
      <c r="J5" s="45"/>
    </row>
    <row r="7" spans="1:17" s="544" customFormat="1" x14ac:dyDescent="0.35"/>
    <row r="8" spans="1:17" s="544" customFormat="1" x14ac:dyDescent="0.35">
      <c r="A8" s="486" t="s">
        <v>458</v>
      </c>
    </row>
    <row r="9" spans="1:17" s="544" customFormat="1" x14ac:dyDescent="0.35"/>
    <row r="10" spans="1:17" s="544" customFormat="1" x14ac:dyDescent="0.35">
      <c r="B10" s="544" t="s">
        <v>38</v>
      </c>
      <c r="D10" s="462" t="s">
        <v>454</v>
      </c>
      <c r="E10" s="462" t="s">
        <v>137</v>
      </c>
      <c r="F10" s="462" t="s">
        <v>455</v>
      </c>
      <c r="G10" s="462" t="s">
        <v>456</v>
      </c>
      <c r="H10" s="462" t="s">
        <v>457</v>
      </c>
      <c r="I10" s="462" t="s">
        <v>461</v>
      </c>
      <c r="N10" s="460"/>
      <c r="P10" s="463"/>
      <c r="Q10" s="592"/>
    </row>
    <row r="11" spans="1:17" s="544" customFormat="1" x14ac:dyDescent="0.35">
      <c r="C11" s="544" t="s">
        <v>310</v>
      </c>
      <c r="D11" s="463">
        <v>9350</v>
      </c>
      <c r="E11" s="544">
        <v>1</v>
      </c>
      <c r="F11" s="544">
        <v>8</v>
      </c>
      <c r="G11" s="65">
        <f>D11*E11*H11</f>
        <v>1168.75</v>
      </c>
      <c r="H11" s="288">
        <f>1/F11</f>
        <v>0.125</v>
      </c>
      <c r="I11" s="288">
        <f>H11</f>
        <v>0.125</v>
      </c>
      <c r="N11" s="460"/>
      <c r="P11" s="463"/>
      <c r="Q11" s="592"/>
    </row>
    <row r="12" spans="1:17" s="544" customFormat="1" x14ac:dyDescent="0.35">
      <c r="C12" s="544" t="s">
        <v>326</v>
      </c>
      <c r="D12" s="463">
        <v>408</v>
      </c>
      <c r="E12" s="544">
        <v>4</v>
      </c>
      <c r="F12" s="544">
        <v>20</v>
      </c>
      <c r="G12" s="65">
        <f t="shared" ref="G12:G28" si="1">D12*E12*H12</f>
        <v>81.600000000000009</v>
      </c>
      <c r="H12" s="288">
        <f t="shared" ref="H12:H28" si="2">1/F12</f>
        <v>0.05</v>
      </c>
      <c r="N12" s="460"/>
      <c r="P12" s="463"/>
      <c r="Q12" s="592"/>
    </row>
    <row r="13" spans="1:17" s="544" customFormat="1" x14ac:dyDescent="0.35">
      <c r="C13" s="544" t="s">
        <v>449</v>
      </c>
      <c r="D13" s="463">
        <v>116</v>
      </c>
      <c r="E13" s="544">
        <v>1</v>
      </c>
      <c r="F13" s="544">
        <v>5</v>
      </c>
      <c r="G13" s="65">
        <f t="shared" si="1"/>
        <v>23.200000000000003</v>
      </c>
      <c r="H13" s="288">
        <f t="shared" si="2"/>
        <v>0.2</v>
      </c>
      <c r="N13" s="460"/>
      <c r="P13" s="463"/>
      <c r="Q13" s="592"/>
    </row>
    <row r="14" spans="1:17" s="544" customFormat="1" x14ac:dyDescent="0.35">
      <c r="C14" s="544" t="s">
        <v>312</v>
      </c>
      <c r="D14" s="463">
        <v>225</v>
      </c>
      <c r="E14" s="544">
        <v>2</v>
      </c>
      <c r="F14" s="544">
        <v>8</v>
      </c>
      <c r="G14" s="65">
        <f t="shared" si="1"/>
        <v>56.25</v>
      </c>
      <c r="H14" s="288">
        <f t="shared" si="2"/>
        <v>0.125</v>
      </c>
      <c r="N14" s="460"/>
      <c r="P14" s="463"/>
      <c r="Q14" s="592"/>
    </row>
    <row r="15" spans="1:17" s="544" customFormat="1" x14ac:dyDescent="0.35">
      <c r="C15" s="544" t="s">
        <v>313</v>
      </c>
      <c r="D15" s="463">
        <v>702</v>
      </c>
      <c r="E15" s="544">
        <v>2</v>
      </c>
      <c r="G15" s="65"/>
      <c r="H15" s="288"/>
      <c r="N15" s="460"/>
      <c r="P15" s="463"/>
      <c r="Q15" s="592"/>
    </row>
    <row r="16" spans="1:17" s="544" customFormat="1" x14ac:dyDescent="0.35">
      <c r="C16" s="544" t="s">
        <v>314</v>
      </c>
      <c r="D16" s="463">
        <v>19800</v>
      </c>
      <c r="E16" s="544">
        <v>4</v>
      </c>
      <c r="G16" s="65"/>
      <c r="H16" s="288"/>
      <c r="N16" s="460"/>
      <c r="P16" s="463"/>
      <c r="Q16" s="592"/>
    </row>
    <row r="17" spans="1:17" s="544" customFormat="1" x14ac:dyDescent="0.35">
      <c r="C17" s="544" t="s">
        <v>315</v>
      </c>
      <c r="D17" s="463">
        <v>898</v>
      </c>
      <c r="E17" s="544">
        <v>1</v>
      </c>
      <c r="G17" s="65"/>
      <c r="H17" s="288"/>
      <c r="N17" s="460"/>
      <c r="P17" s="463"/>
      <c r="Q17" s="592"/>
    </row>
    <row r="18" spans="1:17" s="544" customFormat="1" x14ac:dyDescent="0.35">
      <c r="C18" s="544" t="s">
        <v>316</v>
      </c>
      <c r="D18" s="463">
        <v>2568</v>
      </c>
      <c r="E18" s="544">
        <v>1</v>
      </c>
      <c r="G18" s="65"/>
      <c r="H18" s="288"/>
      <c r="N18" s="460"/>
      <c r="P18" s="463"/>
      <c r="Q18" s="592"/>
    </row>
    <row r="19" spans="1:17" s="544" customFormat="1" x14ac:dyDescent="0.35">
      <c r="C19" s="544" t="s">
        <v>317</v>
      </c>
      <c r="D19" s="463">
        <v>8261</v>
      </c>
      <c r="E19" s="544">
        <v>1</v>
      </c>
      <c r="F19" s="544">
        <v>5</v>
      </c>
      <c r="G19" s="65">
        <f t="shared" si="1"/>
        <v>1652.2</v>
      </c>
      <c r="H19" s="288">
        <f t="shared" si="2"/>
        <v>0.2</v>
      </c>
      <c r="I19" s="288">
        <f>H19</f>
        <v>0.2</v>
      </c>
      <c r="N19" s="460"/>
      <c r="P19" s="463"/>
      <c r="Q19" s="592"/>
    </row>
    <row r="20" spans="1:17" s="544" customFormat="1" x14ac:dyDescent="0.35">
      <c r="C20" s="544" t="s">
        <v>318</v>
      </c>
      <c r="D20" s="463">
        <v>7000</v>
      </c>
      <c r="E20" s="544">
        <v>1</v>
      </c>
      <c r="G20" s="65"/>
      <c r="H20" s="288"/>
      <c r="M20" s="546"/>
      <c r="N20" s="78"/>
      <c r="P20" s="463"/>
      <c r="Q20" s="592"/>
    </row>
    <row r="21" spans="1:17" s="544" customFormat="1" x14ac:dyDescent="0.35">
      <c r="B21" s="544" t="s">
        <v>451</v>
      </c>
      <c r="G21" s="65"/>
      <c r="H21" s="288"/>
      <c r="M21" s="546"/>
      <c r="N21" s="78"/>
      <c r="P21" s="463"/>
      <c r="Q21" s="592"/>
    </row>
    <row r="22" spans="1:17" s="544" customFormat="1" x14ac:dyDescent="0.35">
      <c r="C22" s="544" t="s">
        <v>34</v>
      </c>
      <c r="D22" s="463">
        <v>7006</v>
      </c>
      <c r="E22" s="544">
        <v>1</v>
      </c>
      <c r="F22" s="544">
        <v>10</v>
      </c>
      <c r="G22" s="65">
        <f t="shared" si="1"/>
        <v>700.6</v>
      </c>
      <c r="H22" s="288">
        <f t="shared" si="2"/>
        <v>0.1</v>
      </c>
      <c r="I22" s="288">
        <f>H22</f>
        <v>0.1</v>
      </c>
      <c r="M22" s="546"/>
      <c r="N22" s="78"/>
      <c r="P22" s="463"/>
      <c r="Q22" s="592"/>
    </row>
    <row r="23" spans="1:17" s="544" customFormat="1" x14ac:dyDescent="0.35">
      <c r="C23" s="544" t="s">
        <v>39</v>
      </c>
      <c r="D23" s="463">
        <v>30000</v>
      </c>
      <c r="E23" s="544">
        <v>1</v>
      </c>
      <c r="F23" s="544">
        <v>7.5</v>
      </c>
      <c r="G23" s="65">
        <f t="shared" si="1"/>
        <v>4000</v>
      </c>
      <c r="H23" s="288">
        <f t="shared" si="2"/>
        <v>0.13333333333333333</v>
      </c>
      <c r="I23" s="288">
        <f>H23</f>
        <v>0.13333333333333333</v>
      </c>
      <c r="P23" s="463"/>
    </row>
    <row r="24" spans="1:17" s="544" customFormat="1" x14ac:dyDescent="0.35">
      <c r="C24" s="544" t="s">
        <v>41</v>
      </c>
      <c r="D24" s="463">
        <v>20000</v>
      </c>
      <c r="E24" s="544">
        <v>1</v>
      </c>
      <c r="F24" s="544">
        <v>15</v>
      </c>
      <c r="G24" s="65">
        <f t="shared" si="1"/>
        <v>1333.3333333333333</v>
      </c>
      <c r="H24" s="288">
        <f t="shared" si="2"/>
        <v>6.6666666666666666E-2</v>
      </c>
      <c r="I24" s="288">
        <f>H24</f>
        <v>6.6666666666666666E-2</v>
      </c>
      <c r="P24" s="463"/>
    </row>
    <row r="25" spans="1:17" s="544" customFormat="1" x14ac:dyDescent="0.35">
      <c r="B25" s="544" t="s">
        <v>452</v>
      </c>
      <c r="G25" s="65"/>
      <c r="H25" s="288"/>
      <c r="P25" s="463"/>
    </row>
    <row r="26" spans="1:17" s="544" customFormat="1" x14ac:dyDescent="0.35">
      <c r="C26" s="544" t="s">
        <v>43</v>
      </c>
      <c r="D26" s="463">
        <v>88000</v>
      </c>
      <c r="E26" s="544">
        <v>1</v>
      </c>
      <c r="F26" s="544">
        <v>10</v>
      </c>
      <c r="G26" s="65">
        <f t="shared" si="1"/>
        <v>8800</v>
      </c>
      <c r="H26" s="288">
        <f t="shared" si="2"/>
        <v>0.1</v>
      </c>
      <c r="P26" s="463"/>
    </row>
    <row r="27" spans="1:17" s="544" customFormat="1" x14ac:dyDescent="0.35">
      <c r="C27" s="544" t="s">
        <v>453</v>
      </c>
      <c r="D27" s="544">
        <f>'1.3'!E10</f>
        <v>90733.604413198438</v>
      </c>
      <c r="E27" s="544">
        <v>1</v>
      </c>
      <c r="F27" s="544">
        <v>20</v>
      </c>
      <c r="G27" s="65">
        <f t="shared" si="1"/>
        <v>4536.6802206599223</v>
      </c>
      <c r="H27" s="288">
        <f t="shared" si="2"/>
        <v>0.05</v>
      </c>
      <c r="I27" s="288">
        <f>H27</f>
        <v>0.05</v>
      </c>
      <c r="P27" s="463"/>
    </row>
    <row r="28" spans="1:17" s="544" customFormat="1" x14ac:dyDescent="0.35">
      <c r="C28" s="544" t="s">
        <v>460</v>
      </c>
      <c r="D28" s="463">
        <v>30514</v>
      </c>
      <c r="E28" s="544">
        <v>1</v>
      </c>
      <c r="F28" s="544">
        <v>10</v>
      </c>
      <c r="G28" s="65">
        <f t="shared" si="1"/>
        <v>3051.4</v>
      </c>
      <c r="H28" s="288">
        <f t="shared" si="2"/>
        <v>0.1</v>
      </c>
      <c r="P28" s="463"/>
    </row>
    <row r="29" spans="1:17" s="544" customFormat="1" x14ac:dyDescent="0.35">
      <c r="P29" s="463"/>
    </row>
    <row r="30" spans="1:17" s="544" customFormat="1" x14ac:dyDescent="0.35">
      <c r="B30" s="329" t="s">
        <v>81</v>
      </c>
      <c r="C30" s="329"/>
      <c r="D30" s="329"/>
      <c r="E30" s="329"/>
      <c r="F30" s="329"/>
      <c r="G30" s="669">
        <f>SUM(G11:G28)</f>
        <v>25404.01355399326</v>
      </c>
      <c r="H30" s="669">
        <f>SUM(H11:H28)</f>
        <v>1.25</v>
      </c>
      <c r="I30" s="670">
        <f>SUM(I11:I28)</f>
        <v>0.67500000000000004</v>
      </c>
    </row>
    <row r="31" spans="1:17" s="544" customFormat="1" x14ac:dyDescent="0.35"/>
    <row r="32" spans="1:17" s="544" customFormat="1" x14ac:dyDescent="0.35">
      <c r="A32" s="486" t="s">
        <v>462</v>
      </c>
      <c r="E32" s="486">
        <f>'Performance &amp; Economics'!G7</f>
        <v>332</v>
      </c>
      <c r="F32" s="486" t="s">
        <v>135</v>
      </c>
    </row>
    <row r="33" spans="2:17" s="544" customFormat="1" x14ac:dyDescent="0.35"/>
    <row r="34" spans="2:17" s="544" customFormat="1" x14ac:dyDescent="0.35">
      <c r="B34" s="544" t="s">
        <v>38</v>
      </c>
      <c r="D34" s="462" t="s">
        <v>454</v>
      </c>
      <c r="E34" s="462" t="s">
        <v>137</v>
      </c>
      <c r="F34" s="462" t="s">
        <v>455</v>
      </c>
      <c r="G34" s="462" t="s">
        <v>456</v>
      </c>
      <c r="H34" s="462" t="s">
        <v>457</v>
      </c>
      <c r="I34" s="462" t="s">
        <v>461</v>
      </c>
    </row>
    <row r="35" spans="2:17" s="544" customFormat="1" x14ac:dyDescent="0.35">
      <c r="C35" s="544" t="s">
        <v>310</v>
      </c>
      <c r="D35" s="455">
        <f>D11*$E$32/100</f>
        <v>31042</v>
      </c>
      <c r="E35" s="544">
        <v>1</v>
      </c>
      <c r="F35" s="544">
        <v>8</v>
      </c>
      <c r="G35" s="454">
        <f>D35*E35*H35</f>
        <v>3880.25</v>
      </c>
      <c r="H35" s="288">
        <f>1/F35</f>
        <v>0.125</v>
      </c>
      <c r="I35" s="288">
        <f>H35</f>
        <v>0.125</v>
      </c>
    </row>
    <row r="36" spans="2:17" s="544" customFormat="1" x14ac:dyDescent="0.35">
      <c r="C36" s="544" t="s">
        <v>326</v>
      </c>
      <c r="D36" s="455">
        <f t="shared" ref="D36:D48" si="3">D12*$E$32/100</f>
        <v>1354.56</v>
      </c>
      <c r="E36" s="544">
        <v>4</v>
      </c>
      <c r="F36" s="544">
        <v>20</v>
      </c>
      <c r="G36" s="454">
        <f t="shared" ref="G36:G38" si="4">D36*E36*H36</f>
        <v>270.91199999999998</v>
      </c>
      <c r="H36" s="288">
        <f t="shared" ref="H36:H38" si="5">1/F36</f>
        <v>0.05</v>
      </c>
    </row>
    <row r="37" spans="2:17" s="544" customFormat="1" x14ac:dyDescent="0.35">
      <c r="C37" s="544" t="s">
        <v>449</v>
      </c>
      <c r="D37" s="455">
        <f t="shared" si="3"/>
        <v>385.12</v>
      </c>
      <c r="E37" s="544">
        <v>1</v>
      </c>
      <c r="F37" s="544">
        <v>5</v>
      </c>
      <c r="G37" s="454">
        <f t="shared" si="4"/>
        <v>77.024000000000001</v>
      </c>
      <c r="H37" s="288">
        <f t="shared" si="5"/>
        <v>0.2</v>
      </c>
    </row>
    <row r="38" spans="2:17" s="544" customFormat="1" x14ac:dyDescent="0.35">
      <c r="C38" s="544" t="s">
        <v>312</v>
      </c>
      <c r="D38" s="455">
        <f t="shared" si="3"/>
        <v>747</v>
      </c>
      <c r="E38" s="544">
        <v>2</v>
      </c>
      <c r="F38" s="544">
        <v>8</v>
      </c>
      <c r="G38" s="454">
        <f t="shared" si="4"/>
        <v>186.75</v>
      </c>
      <c r="H38" s="288">
        <f t="shared" si="5"/>
        <v>0.125</v>
      </c>
    </row>
    <row r="39" spans="2:17" s="544" customFormat="1" x14ac:dyDescent="0.35">
      <c r="C39" s="544" t="s">
        <v>313</v>
      </c>
      <c r="D39" s="455">
        <f t="shared" si="3"/>
        <v>2330.64</v>
      </c>
      <c r="E39" s="544">
        <v>2</v>
      </c>
      <c r="G39" s="454"/>
      <c r="H39" s="288"/>
    </row>
    <row r="40" spans="2:17" s="544" customFormat="1" x14ac:dyDescent="0.35">
      <c r="C40" s="544" t="s">
        <v>314</v>
      </c>
      <c r="D40" s="455">
        <f t="shared" si="3"/>
        <v>65736</v>
      </c>
      <c r="E40" s="544">
        <v>4</v>
      </c>
      <c r="G40" s="454"/>
      <c r="H40" s="288"/>
    </row>
    <row r="41" spans="2:17" s="544" customFormat="1" x14ac:dyDescent="0.35">
      <c r="C41" s="544" t="s">
        <v>315</v>
      </c>
      <c r="D41" s="455">
        <f t="shared" si="3"/>
        <v>2981.36</v>
      </c>
      <c r="E41" s="544">
        <v>1</v>
      </c>
      <c r="G41" s="454"/>
      <c r="H41" s="288"/>
    </row>
    <row r="42" spans="2:17" s="544" customFormat="1" x14ac:dyDescent="0.35">
      <c r="C42" s="544" t="s">
        <v>316</v>
      </c>
      <c r="D42" s="455">
        <f t="shared" si="3"/>
        <v>8525.76</v>
      </c>
      <c r="E42" s="544">
        <v>1</v>
      </c>
      <c r="G42" s="454"/>
      <c r="H42" s="288"/>
    </row>
    <row r="43" spans="2:17" s="544" customFormat="1" x14ac:dyDescent="0.35">
      <c r="C43" s="544" t="s">
        <v>317</v>
      </c>
      <c r="D43" s="455">
        <f t="shared" si="3"/>
        <v>27426.52</v>
      </c>
      <c r="E43" s="544">
        <v>1</v>
      </c>
      <c r="F43" s="544">
        <v>5</v>
      </c>
      <c r="G43" s="454">
        <f t="shared" ref="G43" si="6">D43*E43*H43</f>
        <v>5485.3040000000001</v>
      </c>
      <c r="H43" s="288">
        <f t="shared" ref="H43" si="7">1/F43</f>
        <v>0.2</v>
      </c>
      <c r="I43" s="288">
        <f>H43</f>
        <v>0.2</v>
      </c>
    </row>
    <row r="44" spans="2:17" s="544" customFormat="1" x14ac:dyDescent="0.35">
      <c r="C44" s="544" t="s">
        <v>318</v>
      </c>
      <c r="D44" s="455">
        <f t="shared" si="3"/>
        <v>23240</v>
      </c>
      <c r="E44" s="544">
        <v>1</v>
      </c>
      <c r="G44" s="454"/>
      <c r="H44" s="288"/>
    </row>
    <row r="45" spans="2:17" s="544" customFormat="1" x14ac:dyDescent="0.35">
      <c r="B45" s="544" t="s">
        <v>451</v>
      </c>
      <c r="D45" s="455">
        <f t="shared" si="3"/>
        <v>0</v>
      </c>
      <c r="G45" s="454"/>
      <c r="H45" s="288"/>
    </row>
    <row r="46" spans="2:17" s="544" customFormat="1" x14ac:dyDescent="0.35">
      <c r="C46" s="544" t="s">
        <v>34</v>
      </c>
      <c r="D46" s="455">
        <f t="shared" si="3"/>
        <v>23259.919999999998</v>
      </c>
      <c r="E46" s="544">
        <v>1</v>
      </c>
      <c r="F46" s="544">
        <v>10</v>
      </c>
      <c r="G46" s="454">
        <f t="shared" ref="G46:G48" si="8">D46*E46*H46</f>
        <v>2325.9919999999997</v>
      </c>
      <c r="H46" s="288">
        <f t="shared" ref="H46:H48" si="9">1/F46</f>
        <v>0.1</v>
      </c>
      <c r="I46" s="288">
        <f>H46</f>
        <v>0.1</v>
      </c>
    </row>
    <row r="47" spans="2:17" s="544" customFormat="1" x14ac:dyDescent="0.35">
      <c r="C47" s="544" t="s">
        <v>39</v>
      </c>
      <c r="D47" s="455">
        <f t="shared" si="3"/>
        <v>99600</v>
      </c>
      <c r="E47" s="544">
        <v>1</v>
      </c>
      <c r="F47" s="544">
        <v>7.5</v>
      </c>
      <c r="G47" s="454">
        <f t="shared" si="8"/>
        <v>13280</v>
      </c>
      <c r="H47" s="288">
        <f t="shared" si="9"/>
        <v>0.13333333333333333</v>
      </c>
      <c r="I47" s="288">
        <f>H47</f>
        <v>0.13333333333333333</v>
      </c>
      <c r="M47"/>
      <c r="N47"/>
      <c r="O47"/>
      <c r="P47"/>
      <c r="Q47"/>
    </row>
    <row r="48" spans="2:17" s="544" customFormat="1" x14ac:dyDescent="0.35">
      <c r="C48" s="544" t="s">
        <v>41</v>
      </c>
      <c r="D48" s="455">
        <f t="shared" si="3"/>
        <v>66400</v>
      </c>
      <c r="E48" s="544">
        <v>1</v>
      </c>
      <c r="F48" s="544">
        <v>15</v>
      </c>
      <c r="G48" s="454">
        <f t="shared" si="8"/>
        <v>4426.666666666667</v>
      </c>
      <c r="H48" s="288">
        <f t="shared" si="9"/>
        <v>6.6666666666666666E-2</v>
      </c>
      <c r="I48" s="288">
        <f>H48</f>
        <v>6.6666666666666666E-2</v>
      </c>
      <c r="M48"/>
      <c r="N48"/>
      <c r="O48"/>
      <c r="P48"/>
      <c r="Q48"/>
    </row>
    <row r="49" spans="1:17" s="544" customFormat="1" x14ac:dyDescent="0.35">
      <c r="B49" s="544" t="s">
        <v>452</v>
      </c>
      <c r="D49" s="455"/>
      <c r="G49" s="454"/>
      <c r="H49" s="288"/>
      <c r="M49"/>
      <c r="N49"/>
      <c r="O49"/>
      <c r="P49"/>
      <c r="Q49"/>
    </row>
    <row r="50" spans="1:17" s="544" customFormat="1" x14ac:dyDescent="0.35">
      <c r="C50" s="544" t="s">
        <v>43</v>
      </c>
      <c r="D50" s="455">
        <f>D26</f>
        <v>88000</v>
      </c>
      <c r="E50" s="544">
        <v>1</v>
      </c>
      <c r="F50" s="544">
        <v>10</v>
      </c>
      <c r="G50" s="454">
        <f t="shared" ref="G50:G52" si="10">D50*E50*H50</f>
        <v>8800</v>
      </c>
      <c r="H50" s="288">
        <f t="shared" ref="H50:H52" si="11">1/F50</f>
        <v>0.1</v>
      </c>
      <c r="M50" s="71"/>
      <c r="N50" s="71"/>
      <c r="O50" s="71"/>
      <c r="P50" s="71"/>
      <c r="Q50" s="71"/>
    </row>
    <row r="51" spans="1:17" s="544" customFormat="1" x14ac:dyDescent="0.35">
      <c r="C51" s="544" t="s">
        <v>453</v>
      </c>
      <c r="D51" s="455">
        <f>D27</f>
        <v>90733.604413198438</v>
      </c>
      <c r="E51" s="544">
        <v>1</v>
      </c>
      <c r="F51" s="544">
        <v>50</v>
      </c>
      <c r="G51" s="454">
        <f t="shared" si="10"/>
        <v>1814.6720882639688</v>
      </c>
      <c r="H51" s="288">
        <f t="shared" si="11"/>
        <v>0.02</v>
      </c>
      <c r="I51" s="288">
        <f>H51</f>
        <v>0.02</v>
      </c>
      <c r="M51" s="71"/>
      <c r="N51" s="71"/>
      <c r="O51" s="71"/>
      <c r="P51" s="71"/>
      <c r="Q51" s="71"/>
    </row>
    <row r="52" spans="1:17" x14ac:dyDescent="0.35">
      <c r="A52" s="544"/>
      <c r="B52" s="544"/>
      <c r="C52" s="544" t="s">
        <v>460</v>
      </c>
      <c r="D52" s="455">
        <f>D28*E32/100</f>
        <v>101306.48</v>
      </c>
      <c r="E52" s="544">
        <v>1</v>
      </c>
      <c r="F52" s="544">
        <v>10</v>
      </c>
      <c r="G52" s="454">
        <f t="shared" si="10"/>
        <v>10130.648000000001</v>
      </c>
      <c r="H52" s="288">
        <f t="shared" si="11"/>
        <v>0.1</v>
      </c>
      <c r="I52" s="544"/>
      <c r="M52" s="71"/>
      <c r="N52" s="71"/>
      <c r="O52" s="71"/>
      <c r="P52" s="71"/>
      <c r="Q52" s="71"/>
    </row>
    <row r="53" spans="1:17" x14ac:dyDescent="0.35">
      <c r="A53" s="544"/>
      <c r="B53" s="544"/>
      <c r="C53" s="544"/>
      <c r="D53" s="544"/>
      <c r="E53" s="544"/>
      <c r="F53" s="544"/>
      <c r="G53" s="454"/>
      <c r="H53" s="544"/>
      <c r="I53" s="544"/>
      <c r="M53" s="71"/>
      <c r="N53" s="71"/>
      <c r="O53" s="71"/>
      <c r="P53" s="71"/>
      <c r="Q53" s="71"/>
    </row>
    <row r="54" spans="1:17" x14ac:dyDescent="0.35">
      <c r="A54" s="544"/>
      <c r="B54" s="329" t="s">
        <v>81</v>
      </c>
      <c r="C54" s="329"/>
      <c r="D54" s="329"/>
      <c r="E54" s="329"/>
      <c r="F54" s="329"/>
      <c r="G54" s="207">
        <f>SUM(G35:G52)</f>
        <v>50678.218754930647</v>
      </c>
      <c r="H54" s="669">
        <f>SUM(H35:H52)</f>
        <v>1.22</v>
      </c>
      <c r="I54" s="670">
        <f>SUM(I35:I52)</f>
        <v>0.64500000000000002</v>
      </c>
    </row>
    <row r="55" spans="1:17" s="71" customFormat="1" x14ac:dyDescent="0.35">
      <c r="B55" s="439"/>
      <c r="E55" s="442"/>
      <c r="F55" s="442"/>
      <c r="G55" s="442"/>
      <c r="H55" s="442"/>
      <c r="I55" s="435"/>
      <c r="J55" s="435"/>
    </row>
    <row r="56" spans="1:17" s="544" customFormat="1" x14ac:dyDescent="0.35">
      <c r="A56" s="486" t="s">
        <v>463</v>
      </c>
      <c r="E56" s="462"/>
      <c r="F56" s="462"/>
      <c r="G56" s="462"/>
      <c r="H56" s="462"/>
    </row>
    <row r="57" spans="1:17" s="544" customFormat="1" x14ac:dyDescent="0.35">
      <c r="E57" s="462"/>
      <c r="F57" s="462"/>
      <c r="G57" s="462"/>
      <c r="H57" s="462"/>
    </row>
    <row r="58" spans="1:17" s="544" customFormat="1" x14ac:dyDescent="0.35">
      <c r="B58" s="544" t="s">
        <v>38</v>
      </c>
      <c r="D58" s="462" t="s">
        <v>454</v>
      </c>
      <c r="E58" s="462" t="s">
        <v>137</v>
      </c>
      <c r="F58" s="462" t="s">
        <v>455</v>
      </c>
      <c r="G58" s="462" t="s">
        <v>456</v>
      </c>
      <c r="H58" s="462" t="s">
        <v>457</v>
      </c>
      <c r="I58" s="462" t="s">
        <v>461</v>
      </c>
    </row>
    <row r="59" spans="1:17" s="544" customFormat="1" x14ac:dyDescent="0.35">
      <c r="C59" s="544" t="s">
        <v>310</v>
      </c>
      <c r="D59" s="455">
        <v>24310</v>
      </c>
      <c r="E59" s="544">
        <v>1</v>
      </c>
      <c r="F59" s="544">
        <v>8</v>
      </c>
      <c r="G59" s="454">
        <f>D59*E59*H59</f>
        <v>3038.75</v>
      </c>
      <c r="H59" s="288">
        <f>1/F59</f>
        <v>0.125</v>
      </c>
      <c r="I59" s="288">
        <f>H59</f>
        <v>0.125</v>
      </c>
    </row>
    <row r="60" spans="1:17" s="544" customFormat="1" x14ac:dyDescent="0.35">
      <c r="C60" s="544" t="s">
        <v>326</v>
      </c>
      <c r="D60" s="455">
        <v>938.07999999999993</v>
      </c>
      <c r="E60" s="544">
        <v>4</v>
      </c>
      <c r="F60" s="544">
        <v>20</v>
      </c>
      <c r="G60" s="454">
        <f t="shared" ref="G60:G62" si="12">D60*E60*H60</f>
        <v>187.61599999999999</v>
      </c>
      <c r="H60" s="288">
        <f t="shared" ref="H60:H62" si="13">1/F60</f>
        <v>0.05</v>
      </c>
    </row>
    <row r="61" spans="1:17" s="544" customFormat="1" x14ac:dyDescent="0.35">
      <c r="C61" s="544" t="s">
        <v>449</v>
      </c>
      <c r="D61" s="455">
        <v>277.42</v>
      </c>
      <c r="E61" s="544">
        <v>1</v>
      </c>
      <c r="F61" s="544">
        <v>5</v>
      </c>
      <c r="G61" s="454">
        <f t="shared" si="12"/>
        <v>55.484000000000009</v>
      </c>
      <c r="H61" s="288">
        <f t="shared" si="13"/>
        <v>0.2</v>
      </c>
    </row>
    <row r="62" spans="1:17" s="544" customFormat="1" x14ac:dyDescent="0.35">
      <c r="C62" s="544" t="s">
        <v>312</v>
      </c>
      <c r="D62" s="455">
        <v>480.47999999999996</v>
      </c>
      <c r="E62" s="544">
        <v>2</v>
      </c>
      <c r="F62" s="544">
        <v>8</v>
      </c>
      <c r="G62" s="454">
        <f t="shared" si="12"/>
        <v>120.11999999999999</v>
      </c>
      <c r="H62" s="288">
        <f t="shared" si="13"/>
        <v>0.125</v>
      </c>
    </row>
    <row r="63" spans="1:17" s="544" customFormat="1" x14ac:dyDescent="0.35">
      <c r="C63" s="544" t="s">
        <v>313</v>
      </c>
      <c r="D63" s="455">
        <v>1893.32</v>
      </c>
      <c r="E63" s="544">
        <v>2</v>
      </c>
      <c r="G63" s="454"/>
      <c r="H63" s="288"/>
    </row>
    <row r="64" spans="1:17" s="544" customFormat="1" x14ac:dyDescent="0.35">
      <c r="C64" s="544" t="s">
        <v>314</v>
      </c>
      <c r="D64" s="455">
        <v>23452</v>
      </c>
      <c r="E64" s="544">
        <v>4</v>
      </c>
      <c r="G64" s="454"/>
      <c r="H64" s="288"/>
    </row>
    <row r="65" spans="2:9" s="544" customFormat="1" x14ac:dyDescent="0.35">
      <c r="C65" s="544" t="s">
        <v>315</v>
      </c>
      <c r="D65" s="455">
        <v>2419.56</v>
      </c>
      <c r="E65" s="544">
        <v>1</v>
      </c>
      <c r="G65" s="454"/>
      <c r="H65" s="288"/>
    </row>
    <row r="66" spans="2:9" s="544" customFormat="1" x14ac:dyDescent="0.35">
      <c r="C66" s="544" t="s">
        <v>316</v>
      </c>
      <c r="D66" s="455">
        <v>6912.62</v>
      </c>
      <c r="E66" s="544">
        <v>1</v>
      </c>
      <c r="G66" s="454"/>
      <c r="H66" s="288"/>
    </row>
    <row r="67" spans="2:9" s="544" customFormat="1" x14ac:dyDescent="0.35">
      <c r="C67" s="544" t="s">
        <v>317</v>
      </c>
      <c r="D67" s="455">
        <v>17889.3</v>
      </c>
      <c r="E67" s="544">
        <v>1</v>
      </c>
      <c r="F67" s="544">
        <v>5</v>
      </c>
      <c r="G67" s="454">
        <f t="shared" ref="G67" si="14">D67*E67*H67</f>
        <v>3577.86</v>
      </c>
      <c r="H67" s="288">
        <f t="shared" ref="H67" si="15">1/F67</f>
        <v>0.2</v>
      </c>
      <c r="I67" s="288">
        <f>H67</f>
        <v>0.2</v>
      </c>
    </row>
    <row r="68" spans="2:9" s="544" customFormat="1" x14ac:dyDescent="0.35">
      <c r="C68" s="544" t="s">
        <v>318</v>
      </c>
      <c r="D68" s="455">
        <v>18590</v>
      </c>
      <c r="E68" s="544">
        <v>1</v>
      </c>
      <c r="G68" s="454"/>
      <c r="H68" s="288"/>
    </row>
    <row r="69" spans="2:9" s="544" customFormat="1" x14ac:dyDescent="0.35">
      <c r="B69" s="544" t="s">
        <v>451</v>
      </c>
      <c r="D69" s="455"/>
      <c r="G69" s="454"/>
      <c r="H69" s="288"/>
    </row>
    <row r="70" spans="2:9" s="544" customFormat="1" x14ac:dyDescent="0.35">
      <c r="C70" s="544" t="s">
        <v>34</v>
      </c>
      <c r="D70" s="455">
        <v>25740</v>
      </c>
      <c r="E70" s="544">
        <v>1</v>
      </c>
      <c r="F70" s="544">
        <v>10</v>
      </c>
      <c r="G70" s="454">
        <f t="shared" ref="G70:G72" si="16">D70*E70*H70</f>
        <v>2574</v>
      </c>
      <c r="H70" s="288">
        <f t="shared" ref="H70:H72" si="17">1/F70</f>
        <v>0.1</v>
      </c>
      <c r="I70" s="288">
        <f>H70</f>
        <v>0.1</v>
      </c>
    </row>
    <row r="71" spans="2:9" s="544" customFormat="1" x14ac:dyDescent="0.35">
      <c r="C71" s="544" t="s">
        <v>39</v>
      </c>
      <c r="D71" s="455">
        <v>15027.869999999999</v>
      </c>
      <c r="E71" s="544">
        <v>1</v>
      </c>
      <c r="F71" s="544">
        <v>7.5</v>
      </c>
      <c r="G71" s="454">
        <f t="shared" si="16"/>
        <v>2003.7159999999999</v>
      </c>
      <c r="H71" s="288">
        <f t="shared" si="17"/>
        <v>0.13333333333333333</v>
      </c>
      <c r="I71" s="288">
        <f>H71</f>
        <v>0.13333333333333333</v>
      </c>
    </row>
    <row r="72" spans="2:9" s="544" customFormat="1" x14ac:dyDescent="0.35">
      <c r="C72" s="544" t="s">
        <v>41</v>
      </c>
      <c r="D72" s="455">
        <v>42900</v>
      </c>
      <c r="E72" s="544">
        <v>1</v>
      </c>
      <c r="F72" s="544">
        <v>15</v>
      </c>
      <c r="G72" s="454">
        <f t="shared" si="16"/>
        <v>2860</v>
      </c>
      <c r="H72" s="288">
        <f t="shared" si="17"/>
        <v>6.6666666666666666E-2</v>
      </c>
      <c r="I72" s="288">
        <f>H72</f>
        <v>6.6666666666666666E-2</v>
      </c>
    </row>
    <row r="73" spans="2:9" s="544" customFormat="1" x14ac:dyDescent="0.35">
      <c r="B73" s="544" t="s">
        <v>452</v>
      </c>
      <c r="D73" s="455"/>
      <c r="G73" s="454"/>
      <c r="H73" s="288"/>
    </row>
    <row r="74" spans="2:9" s="544" customFormat="1" x14ac:dyDescent="0.35">
      <c r="C74" s="544" t="s">
        <v>43</v>
      </c>
      <c r="D74" s="455">
        <v>88000</v>
      </c>
      <c r="E74" s="544">
        <v>1</v>
      </c>
      <c r="F74" s="544">
        <v>10</v>
      </c>
      <c r="G74" s="454">
        <f t="shared" ref="G74:G76" si="18">D74*E74*H74</f>
        <v>8800</v>
      </c>
      <c r="H74" s="288">
        <f t="shared" ref="H74:H76" si="19">1/F74</f>
        <v>0.1</v>
      </c>
    </row>
    <row r="75" spans="2:9" s="544" customFormat="1" x14ac:dyDescent="0.35">
      <c r="C75" s="544" t="s">
        <v>453</v>
      </c>
      <c r="D75" s="455">
        <v>472297.5</v>
      </c>
      <c r="E75" s="544">
        <v>1</v>
      </c>
      <c r="F75" s="544">
        <v>50</v>
      </c>
      <c r="G75" s="454">
        <f t="shared" si="18"/>
        <v>9445.9500000000007</v>
      </c>
      <c r="H75" s="288">
        <f t="shared" si="19"/>
        <v>0.02</v>
      </c>
      <c r="I75" s="288">
        <f>H75</f>
        <v>0.02</v>
      </c>
    </row>
    <row r="76" spans="2:9" s="544" customFormat="1" x14ac:dyDescent="0.35">
      <c r="C76" s="544" t="s">
        <v>460</v>
      </c>
      <c r="D76" s="455">
        <v>65452.53</v>
      </c>
      <c r="E76" s="544">
        <v>1</v>
      </c>
      <c r="F76" s="544">
        <v>10</v>
      </c>
      <c r="G76" s="454">
        <f t="shared" si="18"/>
        <v>6545.2530000000006</v>
      </c>
      <c r="H76" s="288">
        <f t="shared" si="19"/>
        <v>0.1</v>
      </c>
    </row>
    <row r="77" spans="2:9" s="544" customFormat="1" x14ac:dyDescent="0.35">
      <c r="D77" s="455"/>
      <c r="G77" s="454"/>
    </row>
    <row r="78" spans="2:9" s="544" customFormat="1" x14ac:dyDescent="0.35">
      <c r="B78" s="329" t="s">
        <v>81</v>
      </c>
      <c r="C78" s="329"/>
      <c r="D78" s="113">
        <f>SUM(D59:D76)</f>
        <v>806580.68</v>
      </c>
      <c r="E78" s="329"/>
      <c r="F78" s="329"/>
      <c r="G78" s="207">
        <f>SUM(G59:G76)</f>
        <v>39208.749000000003</v>
      </c>
      <c r="H78" s="669">
        <f>SUM(H59:H76)</f>
        <v>1.22</v>
      </c>
      <c r="I78" s="670">
        <f>SUM(I59:I76)</f>
        <v>0.64500000000000002</v>
      </c>
    </row>
    <row r="79" spans="2:9" s="544" customFormat="1" x14ac:dyDescent="0.35">
      <c r="D79" s="455"/>
      <c r="E79" s="671"/>
      <c r="F79" s="671"/>
      <c r="G79" s="671"/>
      <c r="H79" s="672"/>
    </row>
    <row r="80" spans="2:9" s="544" customFormat="1" x14ac:dyDescent="0.35">
      <c r="B80" s="545" t="s">
        <v>438</v>
      </c>
      <c r="C80" s="545"/>
      <c r="D80" s="674">
        <f>G78/E32</f>
        <v>118.09864156626507</v>
      </c>
      <c r="E80" s="671"/>
      <c r="F80" s="671"/>
      <c r="G80" s="673"/>
      <c r="H80" s="671"/>
    </row>
    <row r="81" spans="1:17" s="544" customFormat="1" x14ac:dyDescent="0.35">
      <c r="E81" s="462"/>
      <c r="F81" s="462"/>
      <c r="G81" s="462"/>
      <c r="H81" s="462"/>
    </row>
    <row r="82" spans="1:17" s="544" customFormat="1" x14ac:dyDescent="0.35">
      <c r="B82" s="544" t="s">
        <v>464</v>
      </c>
      <c r="D82" s="47">
        <v>0.97299999999999998</v>
      </c>
      <c r="E82" s="462"/>
      <c r="F82" s="462"/>
      <c r="G82" s="462"/>
      <c r="H82" s="462"/>
    </row>
    <row r="83" spans="1:17" s="544" customFormat="1" x14ac:dyDescent="0.35">
      <c r="D83" s="47"/>
      <c r="E83" s="462"/>
      <c r="F83" s="462"/>
      <c r="G83" s="462"/>
      <c r="H83" s="462"/>
    </row>
    <row r="84" spans="1:17" s="71" customFormat="1" x14ac:dyDescent="0.35">
      <c r="A84" s="486" t="s">
        <v>465</v>
      </c>
      <c r="B84" s="439"/>
      <c r="E84" s="104" t="s">
        <v>292</v>
      </c>
      <c r="F84" s="441" t="s">
        <v>66</v>
      </c>
      <c r="G84" s="441"/>
      <c r="H84" s="441"/>
      <c r="I84" s="435"/>
      <c r="J84" s="435"/>
    </row>
    <row r="85" spans="1:17" s="71" customFormat="1" x14ac:dyDescent="0.35">
      <c r="B85" s="439"/>
      <c r="D85" s="517">
        <v>1</v>
      </c>
      <c r="E85" s="119">
        <v>10</v>
      </c>
      <c r="F85" s="119">
        <v>50</v>
      </c>
      <c r="G85" s="119">
        <v>100</v>
      </c>
      <c r="H85" s="443"/>
      <c r="I85" s="439"/>
      <c r="J85" s="439"/>
    </row>
    <row r="86" spans="1:17" s="71" customFormat="1" x14ac:dyDescent="0.35">
      <c r="B86" s="329" t="s">
        <v>81</v>
      </c>
      <c r="C86" s="329"/>
      <c r="D86" s="207">
        <f>G54</f>
        <v>50678.218754930647</v>
      </c>
      <c r="E86" s="113">
        <f>$D$86*E85^(LOG10($D$82)/LOG10(2))</f>
        <v>46273.574837298176</v>
      </c>
      <c r="F86" s="113">
        <f>$D$86*F85^(LOG10($D$82)/LOG10(2))</f>
        <v>43424.209556909918</v>
      </c>
      <c r="G86" s="113">
        <f>G78</f>
        <v>39208.749000000003</v>
      </c>
      <c r="H86" s="440"/>
      <c r="I86" s="439"/>
      <c r="J86" s="439"/>
    </row>
    <row r="87" spans="1:17" s="71" customFormat="1" x14ac:dyDescent="0.35"/>
    <row r="88" spans="1:17" s="71" customFormat="1" x14ac:dyDescent="0.35">
      <c r="E88" s="41"/>
      <c r="M88"/>
      <c r="N88"/>
      <c r="O88"/>
      <c r="P88"/>
      <c r="Q88"/>
    </row>
    <row r="89" spans="1:17" s="71" customFormat="1" x14ac:dyDescent="0.35"/>
    <row r="90" spans="1:17" s="71" customFormat="1" x14ac:dyDescent="0.35">
      <c r="A90" s="211" t="s">
        <v>144</v>
      </c>
    </row>
    <row r="91" spans="1:17" x14ac:dyDescent="0.35">
      <c r="A91" s="293">
        <v>2.5</v>
      </c>
      <c r="B91" s="439" t="s">
        <v>501</v>
      </c>
      <c r="M91" s="71"/>
      <c r="N91" s="71"/>
      <c r="O91" s="71"/>
      <c r="P91" s="71"/>
      <c r="Q91" s="71"/>
    </row>
    <row r="92" spans="1:17" s="71" customFormat="1" x14ac:dyDescent="0.35">
      <c r="A92" s="293"/>
      <c r="K92" s="63"/>
      <c r="L92" s="63"/>
    </row>
    <row r="93" spans="1:17" s="71" customFormat="1" x14ac:dyDescent="0.35">
      <c r="A93" s="293"/>
      <c r="B93" s="239"/>
      <c r="C93" s="239"/>
      <c r="D93" s="239"/>
      <c r="E93" s="240"/>
      <c r="F93" s="32"/>
      <c r="G93" s="32"/>
      <c r="H93" s="32"/>
      <c r="I93" s="32"/>
      <c r="J93" s="32"/>
      <c r="K93" s="241"/>
      <c r="L93" s="85"/>
    </row>
    <row r="94" spans="1:17" s="71" customFormat="1" x14ac:dyDescent="0.35">
      <c r="A94" s="211" t="s">
        <v>232</v>
      </c>
      <c r="B94" s="239"/>
      <c r="C94" s="239"/>
      <c r="D94" s="239"/>
      <c r="E94" s="240"/>
      <c r="F94" s="32"/>
      <c r="G94" s="32"/>
      <c r="H94" s="32"/>
      <c r="I94" s="32"/>
      <c r="J94" s="32"/>
      <c r="K94" s="241"/>
      <c r="L94" s="85"/>
    </row>
    <row r="95" spans="1:17" s="71" customFormat="1" x14ac:dyDescent="0.35">
      <c r="A95" s="71">
        <v>2.5</v>
      </c>
      <c r="B95" s="215" t="s">
        <v>308</v>
      </c>
      <c r="C95" s="215"/>
      <c r="D95" s="215"/>
      <c r="E95" s="215"/>
      <c r="F95" s="32"/>
      <c r="G95" s="32"/>
      <c r="H95" s="32"/>
      <c r="I95" s="32"/>
      <c r="J95" s="32"/>
      <c r="K95" s="241"/>
      <c r="L95" s="85"/>
    </row>
    <row r="96" spans="1:17" s="71" customFormat="1" x14ac:dyDescent="0.35">
      <c r="B96" s="215"/>
      <c r="C96" s="215"/>
      <c r="D96" s="215"/>
      <c r="E96" s="215"/>
      <c r="F96" s="32"/>
      <c r="G96" s="32"/>
      <c r="H96" s="32"/>
      <c r="I96" s="32"/>
      <c r="J96" s="32"/>
      <c r="K96" s="241"/>
      <c r="L96" s="85"/>
    </row>
    <row r="97" spans="1:17" s="71" customFormat="1" x14ac:dyDescent="0.35">
      <c r="B97" s="215"/>
      <c r="C97" s="215"/>
      <c r="D97" s="215"/>
      <c r="E97" s="215"/>
      <c r="F97" s="32"/>
      <c r="G97" s="32"/>
      <c r="H97" s="32"/>
      <c r="I97" s="32"/>
      <c r="J97" s="32"/>
      <c r="K97" s="241"/>
      <c r="L97" s="85"/>
    </row>
    <row r="98" spans="1:17" s="71" customFormat="1" x14ac:dyDescent="0.35">
      <c r="B98" s="215"/>
      <c r="C98" s="215"/>
      <c r="D98" s="215"/>
      <c r="E98" s="215"/>
      <c r="F98" s="32"/>
      <c r="G98" s="32"/>
      <c r="H98" s="32"/>
      <c r="I98" s="32"/>
      <c r="J98" s="32"/>
      <c r="K98" s="241"/>
      <c r="L98" s="85"/>
    </row>
    <row r="99" spans="1:17" s="71" customFormat="1" x14ac:dyDescent="0.35">
      <c r="A99" s="25"/>
      <c r="B99" s="215"/>
      <c r="C99" s="215"/>
      <c r="D99" s="215"/>
      <c r="E99" s="215"/>
      <c r="F99" s="32"/>
      <c r="G99" s="32"/>
      <c r="H99" s="32"/>
      <c r="I99" s="32"/>
      <c r="J99" s="32"/>
      <c r="K99" s="241"/>
      <c r="L99" s="85"/>
    </row>
    <row r="100" spans="1:17" s="71" customFormat="1" x14ac:dyDescent="0.35">
      <c r="B100" s="215"/>
      <c r="C100" s="215"/>
      <c r="D100" s="215"/>
      <c r="E100" s="215"/>
      <c r="F100" s="32"/>
      <c r="G100" s="32"/>
      <c r="H100" s="32"/>
      <c r="I100" s="32"/>
      <c r="J100" s="32"/>
      <c r="K100" s="241"/>
      <c r="L100" s="85"/>
    </row>
    <row r="101" spans="1:17" s="71" customFormat="1" x14ac:dyDescent="0.35">
      <c r="B101" s="215"/>
      <c r="C101" s="215"/>
      <c r="D101" s="215"/>
      <c r="E101" s="215"/>
      <c r="F101" s="32"/>
      <c r="G101" s="32"/>
      <c r="H101" s="32"/>
      <c r="I101" s="32"/>
      <c r="J101" s="32"/>
      <c r="K101" s="241"/>
      <c r="L101" s="85"/>
    </row>
    <row r="102" spans="1:17" s="71" customFormat="1" x14ac:dyDescent="0.35">
      <c r="B102" s="215"/>
      <c r="C102" s="215"/>
      <c r="D102" s="215"/>
      <c r="E102" s="215"/>
      <c r="F102" s="32"/>
      <c r="G102" s="32"/>
      <c r="H102" s="32"/>
      <c r="I102" s="32"/>
      <c r="J102" s="32"/>
      <c r="K102" s="241"/>
      <c r="L102" s="85"/>
    </row>
    <row r="103" spans="1:17" s="71" customFormat="1" x14ac:dyDescent="0.35">
      <c r="B103" s="215"/>
      <c r="C103" s="215"/>
      <c r="D103" s="215"/>
      <c r="E103" s="215"/>
      <c r="F103" s="32"/>
      <c r="G103" s="32"/>
      <c r="H103" s="32"/>
      <c r="I103" s="32"/>
      <c r="J103" s="32"/>
      <c r="K103" s="241"/>
      <c r="L103" s="85"/>
      <c r="M103" s="293"/>
      <c r="N103" s="293"/>
      <c r="O103" s="293"/>
      <c r="P103" s="293"/>
      <c r="Q103" s="293"/>
    </row>
    <row r="104" spans="1:17" s="71" customFormat="1" x14ac:dyDescent="0.35">
      <c r="B104" s="215"/>
      <c r="C104" s="215"/>
      <c r="D104" s="215"/>
      <c r="E104" s="215"/>
      <c r="F104" s="32"/>
      <c r="G104" s="32"/>
      <c r="H104" s="32"/>
      <c r="I104" s="32"/>
      <c r="J104" s="32"/>
      <c r="K104" s="241"/>
      <c r="L104" s="85"/>
      <c r="M104" s="293"/>
      <c r="N104" s="293"/>
      <c r="O104" s="293"/>
      <c r="P104" s="293"/>
      <c r="Q104" s="293"/>
    </row>
    <row r="105" spans="1:17" s="71" customFormat="1" x14ac:dyDescent="0.35">
      <c r="B105" s="215"/>
      <c r="C105" s="215"/>
      <c r="D105" s="215"/>
      <c r="E105" s="215"/>
      <c r="F105" s="32"/>
      <c r="G105" s="32"/>
      <c r="H105" s="32"/>
      <c r="I105" s="32"/>
      <c r="J105" s="32"/>
      <c r="K105" s="241"/>
      <c r="L105" s="85"/>
      <c r="M105" s="293"/>
      <c r="N105" s="293"/>
      <c r="O105" s="293"/>
      <c r="P105" s="293"/>
      <c r="Q105" s="293"/>
    </row>
    <row r="106" spans="1:17" s="71" customFormat="1" x14ac:dyDescent="0.35">
      <c r="B106" s="215"/>
      <c r="C106" s="215"/>
      <c r="D106" s="215"/>
      <c r="E106" s="215"/>
      <c r="F106" s="32"/>
      <c r="G106" s="32"/>
      <c r="H106" s="32"/>
      <c r="I106" s="32"/>
      <c r="J106" s="32"/>
      <c r="K106" s="241"/>
      <c r="L106" s="85"/>
      <c r="M106" s="293"/>
      <c r="N106" s="293"/>
      <c r="O106" s="293"/>
      <c r="P106" s="293"/>
      <c r="Q106" s="293"/>
    </row>
    <row r="107" spans="1:17" s="71" customFormat="1" x14ac:dyDescent="0.35">
      <c r="D107" s="67"/>
      <c r="E107" s="67"/>
      <c r="F107" s="49"/>
      <c r="G107" s="49"/>
      <c r="H107" s="49"/>
      <c r="I107" s="49"/>
      <c r="J107" s="49"/>
      <c r="K107" s="49"/>
      <c r="L107" s="27"/>
      <c r="M107" s="293"/>
      <c r="N107" s="293"/>
      <c r="O107" s="293"/>
      <c r="P107" s="293"/>
      <c r="Q107" s="293"/>
    </row>
    <row r="108" spans="1:17" s="293" customFormat="1" x14ac:dyDescent="0.35"/>
    <row r="109" spans="1:17" s="293" customFormat="1" x14ac:dyDescent="0.35"/>
    <row r="110" spans="1:17" s="293" customFormat="1" x14ac:dyDescent="0.35">
      <c r="M110"/>
      <c r="N110"/>
      <c r="O110"/>
      <c r="P110"/>
      <c r="Q110"/>
    </row>
    <row r="111" spans="1:17" s="293" customFormat="1" x14ac:dyDescent="0.35">
      <c r="M111"/>
      <c r="N111"/>
      <c r="O111"/>
      <c r="P111"/>
      <c r="Q111"/>
    </row>
    <row r="112" spans="1:17" s="293" customFormat="1" x14ac:dyDescent="0.35">
      <c r="M112"/>
      <c r="N112"/>
      <c r="O112"/>
      <c r="P112"/>
      <c r="Q112"/>
    </row>
    <row r="113" spans="13:17" s="293" customFormat="1" x14ac:dyDescent="0.35">
      <c r="M113"/>
      <c r="N113"/>
      <c r="O113"/>
      <c r="P113"/>
      <c r="Q113"/>
    </row>
    <row r="114" spans="13:17" s="293" customFormat="1" x14ac:dyDescent="0.35">
      <c r="M114"/>
      <c r="N114"/>
      <c r="O114"/>
      <c r="P114"/>
      <c r="Q114"/>
    </row>
  </sheetData>
  <mergeCells count="1">
    <mergeCell ref="E3:H3"/>
  </mergeCells>
  <dataValidations count="2">
    <dataValidation type="list" showInputMessage="1" showErrorMessage="1" sqref="O10:O22">
      <formula1>$E$4:$E$16</formula1>
    </dataValidation>
    <dataValidation type="list" showInputMessage="1" showErrorMessage="1" sqref="E93:E106">
      <formula1>$V$4:$V$88</formula1>
    </dataValidation>
  </dataValidations>
  <pageMargins left="0.7" right="0.7" top="0.75" bottom="0.75" header="0.3" footer="0.3"/>
  <pageSetup orientation="portrait" horizontalDpi="4294967293"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0"/>
  <sheetViews>
    <sheetView zoomScale="70" zoomScaleNormal="70" workbookViewId="0">
      <selection activeCell="O48" sqref="O48"/>
    </sheetView>
  </sheetViews>
  <sheetFormatPr defaultRowHeight="14.5" x14ac:dyDescent="0.35"/>
  <cols>
    <col min="1" max="1" width="5" customWidth="1"/>
    <col min="2" max="2" width="5.54296875" customWidth="1"/>
    <col min="3" max="3" width="38.36328125" customWidth="1"/>
    <col min="4" max="4" width="14.54296875" bestFit="1" customWidth="1"/>
    <col min="5" max="5" width="14.54296875" customWidth="1"/>
    <col min="6" max="6" width="14.6328125" customWidth="1"/>
    <col min="7" max="7" width="12.54296875" customWidth="1"/>
    <col min="8" max="8" width="14.08984375" customWidth="1"/>
  </cols>
  <sheetData>
    <row r="1" spans="1:18" x14ac:dyDescent="0.35">
      <c r="A1" s="486" t="s">
        <v>397</v>
      </c>
    </row>
    <row r="3" spans="1:18" x14ac:dyDescent="0.35">
      <c r="A3" s="42" t="s">
        <v>108</v>
      </c>
      <c r="D3" s="40" t="s">
        <v>66</v>
      </c>
      <c r="E3" s="46">
        <v>1</v>
      </c>
      <c r="F3" s="46">
        <v>10</v>
      </c>
      <c r="G3" s="46">
        <v>50</v>
      </c>
      <c r="H3" s="46">
        <v>100</v>
      </c>
      <c r="I3" s="40"/>
      <c r="J3" s="40"/>
      <c r="K3" s="40"/>
      <c r="L3" s="40"/>
      <c r="M3" s="40"/>
      <c r="N3" s="40"/>
      <c r="O3" s="40"/>
    </row>
    <row r="4" spans="1:18" x14ac:dyDescent="0.35">
      <c r="A4" s="42"/>
      <c r="B4">
        <v>2.6</v>
      </c>
      <c r="C4" t="s">
        <v>57</v>
      </c>
      <c r="D4" s="40"/>
      <c r="E4" s="443">
        <f>$D$12*E3</f>
        <v>8000</v>
      </c>
      <c r="F4" s="443">
        <f t="shared" ref="F4:H4" si="0">$D$12*F3</f>
        <v>80000</v>
      </c>
      <c r="G4" s="443">
        <f t="shared" si="0"/>
        <v>400000</v>
      </c>
      <c r="H4" s="443">
        <f t="shared" si="0"/>
        <v>800000</v>
      </c>
      <c r="I4" s="40"/>
      <c r="J4" s="40"/>
      <c r="K4" s="40"/>
      <c r="L4" s="40"/>
      <c r="M4" s="40"/>
      <c r="N4" s="40"/>
      <c r="O4" s="40"/>
      <c r="P4" s="12"/>
      <c r="Q4" s="12"/>
      <c r="R4" s="12"/>
    </row>
    <row r="5" spans="1:18" x14ac:dyDescent="0.35">
      <c r="D5" s="36"/>
      <c r="E5" s="40"/>
      <c r="F5" s="40"/>
      <c r="G5" s="40"/>
      <c r="H5" s="40"/>
      <c r="I5" s="40"/>
      <c r="J5" s="40"/>
      <c r="K5" s="40"/>
      <c r="L5" s="40"/>
      <c r="M5" s="40"/>
      <c r="N5" s="40"/>
      <c r="O5" s="40"/>
      <c r="P5" s="12"/>
      <c r="Q5" s="12"/>
      <c r="R5" s="12"/>
    </row>
    <row r="6" spans="1:18" ht="18" customHeight="1" x14ac:dyDescent="0.35">
      <c r="A6" s="486" t="s">
        <v>467</v>
      </c>
      <c r="D6" s="679" t="s">
        <v>471</v>
      </c>
      <c r="G6" s="40"/>
      <c r="H6" s="40"/>
      <c r="I6" s="40"/>
      <c r="J6" s="40"/>
      <c r="K6" s="40"/>
      <c r="L6" s="40"/>
      <c r="M6" s="40"/>
      <c r="N6" s="40"/>
      <c r="O6" s="40"/>
      <c r="P6" s="12"/>
      <c r="Q6" s="12"/>
      <c r="R6" s="12"/>
    </row>
    <row r="7" spans="1:18" x14ac:dyDescent="0.35">
      <c r="A7" s="321"/>
      <c r="B7" t="s">
        <v>468</v>
      </c>
      <c r="D7" s="675">
        <v>6000</v>
      </c>
      <c r="G7" s="40"/>
      <c r="H7" s="40"/>
      <c r="I7" s="40"/>
      <c r="J7" s="40"/>
      <c r="K7" s="40"/>
      <c r="L7" s="40"/>
      <c r="M7" s="40"/>
      <c r="N7" s="40"/>
      <c r="O7" s="40"/>
      <c r="P7" s="12"/>
      <c r="Q7" s="12"/>
      <c r="R7" s="12"/>
    </row>
    <row r="8" spans="1:18" s="210" customFormat="1" x14ac:dyDescent="0.35">
      <c r="B8" s="210" t="s">
        <v>470</v>
      </c>
      <c r="C8" s="231"/>
      <c r="D8" s="675">
        <v>500</v>
      </c>
      <c r="G8" s="223"/>
      <c r="H8" s="223"/>
      <c r="I8" s="223"/>
      <c r="J8" s="223"/>
      <c r="K8" s="223"/>
      <c r="L8" s="223"/>
      <c r="M8" s="223"/>
      <c r="N8" s="223"/>
      <c r="O8" s="223"/>
    </row>
    <row r="9" spans="1:18" x14ac:dyDescent="0.35">
      <c r="B9" t="s">
        <v>469</v>
      </c>
      <c r="C9" s="236"/>
      <c r="D9" s="676">
        <v>500</v>
      </c>
    </row>
    <row r="10" spans="1:18" x14ac:dyDescent="0.35">
      <c r="B10" t="s">
        <v>17</v>
      </c>
      <c r="C10" s="237"/>
      <c r="D10" s="238">
        <v>1000</v>
      </c>
    </row>
    <row r="11" spans="1:18" s="544" customFormat="1" x14ac:dyDescent="0.35">
      <c r="C11" s="237"/>
      <c r="D11" s="238"/>
    </row>
    <row r="12" spans="1:18" s="544" customFormat="1" x14ac:dyDescent="0.35">
      <c r="B12" s="329" t="s">
        <v>81</v>
      </c>
      <c r="C12" s="677"/>
      <c r="D12" s="678">
        <f>SUM(D7:D11)</f>
        <v>8000</v>
      </c>
    </row>
    <row r="13" spans="1:18" x14ac:dyDescent="0.35">
      <c r="C13" s="237"/>
      <c r="D13" s="238"/>
    </row>
    <row r="14" spans="1:18" s="293" customFormat="1" x14ac:dyDescent="0.35">
      <c r="A14" s="211" t="s">
        <v>144</v>
      </c>
    </row>
    <row r="15" spans="1:18" s="293" customFormat="1" x14ac:dyDescent="0.35">
      <c r="A15" s="293">
        <v>2.6</v>
      </c>
      <c r="B15" s="293" t="s">
        <v>502</v>
      </c>
    </row>
    <row r="16" spans="1:18" s="293" customFormat="1" x14ac:dyDescent="0.35"/>
    <row r="17" spans="1:2" s="293" customFormat="1" x14ac:dyDescent="0.35"/>
    <row r="18" spans="1:2" s="293" customFormat="1" x14ac:dyDescent="0.35">
      <c r="A18" s="211" t="s">
        <v>232</v>
      </c>
    </row>
    <row r="19" spans="1:2" s="293" customFormat="1" x14ac:dyDescent="0.35">
      <c r="A19" s="293">
        <v>2.6</v>
      </c>
      <c r="B19" s="293" t="s">
        <v>308</v>
      </c>
    </row>
    <row r="20" spans="1:2" s="293" customFormat="1" x14ac:dyDescent="0.35"/>
  </sheetData>
  <dataValidations count="4">
    <dataValidation type="custom" showInputMessage="1" sqref="C9:C13 D9 D6">
      <formula1>IF(#REF!="Defaults",#REF!,VALUE(#REF!))</formula1>
    </dataValidation>
    <dataValidation type="custom" showInputMessage="1" sqref="D6 D9">
      <formula1>IF(#REF!="Defaults",#REF!,VALUE(#REF!))</formula1>
    </dataValidation>
    <dataValidation type="custom" showInputMessage="1" sqref="C9">
      <formula1>IF(AP3="Defaults",AU3,VALUE(AU3))</formula1>
    </dataValidation>
    <dataValidation type="custom" showInputMessage="1" sqref="D9">
      <formula1>IF(AP3="Defaults",AU3,VALUE(AU3))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17"/>
  <sheetViews>
    <sheetView topLeftCell="A293" zoomScale="80" zoomScaleNormal="80" zoomScalePageLayoutView="125" workbookViewId="0">
      <selection activeCell="D272" sqref="D272"/>
    </sheetView>
  </sheetViews>
  <sheetFormatPr defaultColWidth="8.81640625" defaultRowHeight="14.5" outlineLevelRow="5" x14ac:dyDescent="0.35"/>
  <cols>
    <col min="1" max="1" width="10.26953125" style="784" customWidth="1"/>
    <col min="2" max="2" width="9.1796875" style="784" customWidth="1"/>
    <col min="3" max="3" width="50.54296875" style="785" customWidth="1"/>
    <col min="4" max="4" width="21.7265625" style="739" customWidth="1"/>
    <col min="5" max="5" width="52.26953125" style="739" customWidth="1"/>
    <col min="6" max="6" width="10" style="739" customWidth="1"/>
    <col min="7" max="7" width="10.453125" style="739" customWidth="1"/>
    <col min="8" max="16384" width="8.81640625" style="739"/>
  </cols>
  <sheetData>
    <row r="1" spans="1:7" ht="22" customHeight="1" thickBot="1" x14ac:dyDescent="0.4">
      <c r="A1" s="736"/>
      <c r="B1" s="737" t="s">
        <v>506</v>
      </c>
      <c r="C1" s="738"/>
      <c r="D1" s="738"/>
      <c r="E1" s="738"/>
    </row>
    <row r="2" spans="1:7" ht="49" customHeight="1" thickBot="1" x14ac:dyDescent="0.4">
      <c r="A2" s="740" t="s">
        <v>507</v>
      </c>
      <c r="B2" s="741"/>
      <c r="C2" s="742"/>
      <c r="D2" s="742"/>
      <c r="E2" s="742"/>
    </row>
    <row r="3" spans="1:7" ht="74.150000000000006" customHeight="1" thickBot="1" x14ac:dyDescent="0.4">
      <c r="A3" s="878" t="s">
        <v>508</v>
      </c>
      <c r="B3" s="879"/>
      <c r="C3" s="879"/>
      <c r="D3" s="879"/>
      <c r="E3" s="880"/>
    </row>
    <row r="4" spans="1:7" ht="18" customHeight="1" x14ac:dyDescent="0.35">
      <c r="A4" s="743"/>
      <c r="B4" s="881" t="s">
        <v>509</v>
      </c>
      <c r="C4" s="881"/>
      <c r="D4" s="881"/>
      <c r="E4" s="881"/>
    </row>
    <row r="5" spans="1:7" s="745" customFormat="1" x14ac:dyDescent="0.35">
      <c r="A5" s="687"/>
      <c r="B5" s="733"/>
      <c r="C5" s="687"/>
      <c r="D5" s="687"/>
      <c r="E5" s="744"/>
      <c r="F5" s="744"/>
      <c r="G5" s="687"/>
    </row>
    <row r="6" spans="1:7" s="745" customFormat="1" x14ac:dyDescent="0.35">
      <c r="A6" s="882" t="s">
        <v>510</v>
      </c>
      <c r="B6" s="882"/>
      <c r="C6" s="882"/>
      <c r="D6" s="882"/>
      <c r="E6" s="882"/>
      <c r="F6" s="746"/>
      <c r="G6" s="746"/>
    </row>
    <row r="7" spans="1:7" s="745" customFormat="1" ht="15" thickBot="1" x14ac:dyDescent="0.4">
      <c r="A7" s="747" t="s">
        <v>511</v>
      </c>
      <c r="B7" s="747" t="s">
        <v>512</v>
      </c>
      <c r="C7" s="747" t="s">
        <v>112</v>
      </c>
      <c r="D7" s="747"/>
      <c r="E7" s="747" t="s">
        <v>513</v>
      </c>
      <c r="F7" s="725"/>
      <c r="G7" s="748"/>
    </row>
    <row r="8" spans="1:7" s="745" customFormat="1" ht="43.5" x14ac:dyDescent="0.35">
      <c r="A8" s="436">
        <v>1</v>
      </c>
      <c r="B8" s="749">
        <v>1</v>
      </c>
      <c r="C8" s="750" t="s">
        <v>514</v>
      </c>
      <c r="D8" s="751">
        <f>D9+D58+D260</f>
        <v>5168.8227372459878</v>
      </c>
      <c r="E8" s="750" t="s">
        <v>515</v>
      </c>
    </row>
    <row r="9" spans="1:7" s="745" customFormat="1" ht="29" outlineLevel="1" x14ac:dyDescent="0.35">
      <c r="A9" s="436">
        <v>1.1000000000000001</v>
      </c>
      <c r="B9" s="749">
        <v>2</v>
      </c>
      <c r="C9" s="750" t="s">
        <v>516</v>
      </c>
      <c r="D9" s="751">
        <f>SUM(D10:D25)</f>
        <v>1894.1514108632502</v>
      </c>
      <c r="E9" s="750" t="s">
        <v>517</v>
      </c>
    </row>
    <row r="10" spans="1:7" s="745" customFormat="1" ht="29" outlineLevel="2" collapsed="1" x14ac:dyDescent="0.35">
      <c r="A10" s="739" t="s">
        <v>2</v>
      </c>
      <c r="B10" s="749">
        <v>3</v>
      </c>
      <c r="C10" s="750" t="s">
        <v>518</v>
      </c>
      <c r="D10" s="751">
        <f>'CBS ($ per kW)'!P26</f>
        <v>531.68540082285426</v>
      </c>
      <c r="E10" s="750" t="s">
        <v>519</v>
      </c>
    </row>
    <row r="11" spans="1:7" s="745" customFormat="1" hidden="1" outlineLevel="3" x14ac:dyDescent="0.35">
      <c r="A11" s="739" t="s">
        <v>99</v>
      </c>
      <c r="B11" s="749">
        <v>4</v>
      </c>
      <c r="C11" s="750" t="s">
        <v>520</v>
      </c>
      <c r="D11" s="750"/>
      <c r="E11" s="750" t="s">
        <v>521</v>
      </c>
    </row>
    <row r="12" spans="1:7" s="752" customFormat="1" ht="29" hidden="1" outlineLevel="3" x14ac:dyDescent="0.35">
      <c r="A12" s="739" t="s">
        <v>100</v>
      </c>
      <c r="B12" s="749">
        <v>4</v>
      </c>
      <c r="C12" s="750" t="s">
        <v>522</v>
      </c>
      <c r="D12" s="750"/>
      <c r="E12" s="750" t="s">
        <v>523</v>
      </c>
    </row>
    <row r="13" spans="1:7" s="745" customFormat="1" ht="29" hidden="1" outlineLevel="3" collapsed="1" x14ac:dyDescent="0.35">
      <c r="A13" s="739" t="s">
        <v>101</v>
      </c>
      <c r="B13" s="749">
        <v>4</v>
      </c>
      <c r="C13" s="750" t="s">
        <v>524</v>
      </c>
      <c r="D13" s="750"/>
      <c r="E13" s="750" t="s">
        <v>525</v>
      </c>
    </row>
    <row r="14" spans="1:7" s="745" customFormat="1" ht="29" hidden="1" outlineLevel="4" x14ac:dyDescent="0.35">
      <c r="A14" s="739" t="s">
        <v>526</v>
      </c>
      <c r="B14" s="749">
        <v>5</v>
      </c>
      <c r="C14" s="750" t="s">
        <v>527</v>
      </c>
      <c r="D14" s="750"/>
      <c r="E14" s="753" t="s">
        <v>528</v>
      </c>
    </row>
    <row r="15" spans="1:7" ht="29" hidden="1" outlineLevel="4" x14ac:dyDescent="0.35">
      <c r="A15" s="739" t="s">
        <v>529</v>
      </c>
      <c r="B15" s="749">
        <v>5</v>
      </c>
      <c r="C15" s="750" t="s">
        <v>530</v>
      </c>
      <c r="D15" s="750"/>
      <c r="E15" s="753" t="s">
        <v>531</v>
      </c>
    </row>
    <row r="16" spans="1:7" ht="29" hidden="1" outlineLevel="4" x14ac:dyDescent="0.35">
      <c r="A16" s="739" t="s">
        <v>532</v>
      </c>
      <c r="B16" s="749">
        <v>5</v>
      </c>
      <c r="C16" s="750" t="s">
        <v>533</v>
      </c>
      <c r="D16" s="750"/>
      <c r="E16" s="753" t="s">
        <v>534</v>
      </c>
    </row>
    <row r="17" spans="1:5" ht="58" hidden="1" outlineLevel="3" collapsed="1" x14ac:dyDescent="0.35">
      <c r="A17" s="739" t="s">
        <v>102</v>
      </c>
      <c r="B17" s="749">
        <v>4</v>
      </c>
      <c r="C17" s="750" t="s">
        <v>535</v>
      </c>
      <c r="D17" s="750"/>
      <c r="E17" s="750" t="s">
        <v>536</v>
      </c>
    </row>
    <row r="18" spans="1:5" ht="29" hidden="1" outlineLevel="4" x14ac:dyDescent="0.35">
      <c r="A18" s="754" t="s">
        <v>537</v>
      </c>
      <c r="B18" s="755">
        <v>5</v>
      </c>
      <c r="C18" s="753" t="s">
        <v>538</v>
      </c>
      <c r="D18" s="753"/>
      <c r="E18" s="753" t="s">
        <v>539</v>
      </c>
    </row>
    <row r="19" spans="1:5" ht="43.5" hidden="1" outlineLevel="4" x14ac:dyDescent="0.35">
      <c r="A19" s="754" t="s">
        <v>540</v>
      </c>
      <c r="B19" s="755">
        <v>5</v>
      </c>
      <c r="C19" s="753" t="s">
        <v>541</v>
      </c>
      <c r="D19" s="753"/>
      <c r="E19" s="753" t="s">
        <v>542</v>
      </c>
    </row>
    <row r="20" spans="1:5" ht="29" hidden="1" outlineLevel="4" x14ac:dyDescent="0.35">
      <c r="A20" s="754" t="s">
        <v>543</v>
      </c>
      <c r="B20" s="755">
        <v>5</v>
      </c>
      <c r="C20" s="753" t="s">
        <v>544</v>
      </c>
      <c r="D20" s="753"/>
      <c r="E20" s="753" t="s">
        <v>545</v>
      </c>
    </row>
    <row r="21" spans="1:5" hidden="1" outlineLevel="4" x14ac:dyDescent="0.35">
      <c r="A21" s="754" t="s">
        <v>546</v>
      </c>
      <c r="B21" s="755">
        <v>5</v>
      </c>
      <c r="C21" s="753" t="s">
        <v>547</v>
      </c>
      <c r="D21" s="753"/>
      <c r="E21" s="753" t="s">
        <v>548</v>
      </c>
    </row>
    <row r="22" spans="1:5" ht="43.5" hidden="1" outlineLevel="4" x14ac:dyDescent="0.35">
      <c r="A22" s="754" t="s">
        <v>549</v>
      </c>
      <c r="B22" s="755">
        <v>5</v>
      </c>
      <c r="C22" s="753" t="s">
        <v>550</v>
      </c>
      <c r="D22" s="753"/>
      <c r="E22" s="753" t="s">
        <v>551</v>
      </c>
    </row>
    <row r="23" spans="1:5" hidden="1" outlineLevel="3" x14ac:dyDescent="0.35">
      <c r="A23" s="739" t="s">
        <v>552</v>
      </c>
      <c r="B23" s="749">
        <v>4</v>
      </c>
      <c r="C23" s="750" t="s">
        <v>553</v>
      </c>
      <c r="D23" s="750"/>
      <c r="E23" s="750" t="s">
        <v>554</v>
      </c>
    </row>
    <row r="24" spans="1:5" ht="43.5" hidden="1" outlineLevel="3" x14ac:dyDescent="0.35">
      <c r="A24" s="739" t="s">
        <v>555</v>
      </c>
      <c r="B24" s="749">
        <v>4</v>
      </c>
      <c r="C24" s="750" t="s">
        <v>556</v>
      </c>
      <c r="D24" s="750"/>
      <c r="E24" s="750" t="s">
        <v>557</v>
      </c>
    </row>
    <row r="25" spans="1:5" ht="58" outlineLevel="2" collapsed="1" x14ac:dyDescent="0.35">
      <c r="A25" s="739" t="s">
        <v>4</v>
      </c>
      <c r="B25" s="749">
        <v>3</v>
      </c>
      <c r="C25" s="750" t="s">
        <v>558</v>
      </c>
      <c r="D25" s="751">
        <f>'CBS ($ per kW)'!P31-'CBS ($ per kW)'!P37+'CBS ($ per kW)'!P45</f>
        <v>1362.466010040396</v>
      </c>
      <c r="E25" s="750" t="s">
        <v>559</v>
      </c>
    </row>
    <row r="26" spans="1:5" hidden="1" outlineLevel="3" x14ac:dyDescent="0.35">
      <c r="A26" s="739" t="s">
        <v>560</v>
      </c>
      <c r="B26" s="749">
        <v>4</v>
      </c>
      <c r="C26" s="750" t="s">
        <v>561</v>
      </c>
      <c r="D26" s="750"/>
      <c r="E26" s="750" t="s">
        <v>562</v>
      </c>
    </row>
    <row r="27" spans="1:5" ht="29" hidden="1" outlineLevel="3" x14ac:dyDescent="0.35">
      <c r="A27" s="739" t="s">
        <v>563</v>
      </c>
      <c r="B27" s="749">
        <v>4</v>
      </c>
      <c r="C27" s="750" t="s">
        <v>564</v>
      </c>
      <c r="D27" s="750"/>
      <c r="E27" s="750" t="s">
        <v>565</v>
      </c>
    </row>
    <row r="28" spans="1:5" ht="43.5" hidden="1" outlineLevel="4" collapsed="1" x14ac:dyDescent="0.35">
      <c r="A28" s="739" t="s">
        <v>566</v>
      </c>
      <c r="B28" s="755">
        <v>5</v>
      </c>
      <c r="C28" s="753" t="s">
        <v>567</v>
      </c>
      <c r="D28" s="753"/>
      <c r="E28" s="753" t="s">
        <v>568</v>
      </c>
    </row>
    <row r="29" spans="1:5" ht="29" hidden="1" outlineLevel="5" x14ac:dyDescent="0.35">
      <c r="A29" s="754" t="s">
        <v>569</v>
      </c>
      <c r="B29" s="755">
        <v>6</v>
      </c>
      <c r="C29" s="756" t="s">
        <v>570</v>
      </c>
      <c r="D29" s="756"/>
      <c r="E29" s="757" t="s">
        <v>571</v>
      </c>
    </row>
    <row r="30" spans="1:5" hidden="1" outlineLevel="5" x14ac:dyDescent="0.35">
      <c r="A30" s="754" t="s">
        <v>572</v>
      </c>
      <c r="B30" s="755">
        <v>6</v>
      </c>
      <c r="C30" s="756" t="s">
        <v>573</v>
      </c>
      <c r="D30" s="756"/>
      <c r="E30" s="757" t="s">
        <v>574</v>
      </c>
    </row>
    <row r="31" spans="1:5" hidden="1" outlineLevel="5" x14ac:dyDescent="0.35">
      <c r="A31" s="754" t="s">
        <v>575</v>
      </c>
      <c r="B31" s="755">
        <v>6</v>
      </c>
      <c r="C31" s="756" t="s">
        <v>576</v>
      </c>
      <c r="D31" s="756"/>
      <c r="E31" s="757" t="s">
        <v>577</v>
      </c>
    </row>
    <row r="32" spans="1:5" ht="29" hidden="1" outlineLevel="5" x14ac:dyDescent="0.35">
      <c r="A32" s="754" t="s">
        <v>578</v>
      </c>
      <c r="B32" s="755">
        <v>6</v>
      </c>
      <c r="C32" s="756" t="s">
        <v>579</v>
      </c>
      <c r="D32" s="756"/>
      <c r="E32" s="757" t="s">
        <v>580</v>
      </c>
    </row>
    <row r="33" spans="1:5" ht="29" hidden="1" outlineLevel="5" x14ac:dyDescent="0.35">
      <c r="A33" s="754" t="s">
        <v>581</v>
      </c>
      <c r="B33" s="755">
        <v>6</v>
      </c>
      <c r="C33" s="756" t="s">
        <v>582</v>
      </c>
      <c r="D33" s="756"/>
      <c r="E33" s="757" t="s">
        <v>583</v>
      </c>
    </row>
    <row r="34" spans="1:5" hidden="1" outlineLevel="5" x14ac:dyDescent="0.35">
      <c r="A34" s="754" t="s">
        <v>584</v>
      </c>
      <c r="B34" s="755">
        <v>6</v>
      </c>
      <c r="C34" s="756" t="s">
        <v>585</v>
      </c>
      <c r="D34" s="756"/>
      <c r="E34" s="757" t="s">
        <v>586</v>
      </c>
    </row>
    <row r="35" spans="1:5" ht="29" hidden="1" outlineLevel="3" x14ac:dyDescent="0.35">
      <c r="A35" s="739" t="s">
        <v>587</v>
      </c>
      <c r="B35" s="749">
        <v>4</v>
      </c>
      <c r="C35" s="750" t="s">
        <v>588</v>
      </c>
      <c r="D35" s="750"/>
      <c r="E35" s="750" t="s">
        <v>589</v>
      </c>
    </row>
    <row r="36" spans="1:5" hidden="1" outlineLevel="4" x14ac:dyDescent="0.35">
      <c r="A36" s="739" t="s">
        <v>590</v>
      </c>
      <c r="B36" s="755">
        <v>5</v>
      </c>
      <c r="C36" s="753" t="s">
        <v>591</v>
      </c>
      <c r="D36" s="753"/>
      <c r="E36" s="753" t="s">
        <v>592</v>
      </c>
    </row>
    <row r="37" spans="1:5" hidden="1" outlineLevel="4" x14ac:dyDescent="0.35">
      <c r="A37" s="739" t="s">
        <v>593</v>
      </c>
      <c r="B37" s="755">
        <v>5</v>
      </c>
      <c r="C37" s="753" t="s">
        <v>594</v>
      </c>
      <c r="D37" s="753"/>
      <c r="E37" s="753" t="s">
        <v>595</v>
      </c>
    </row>
    <row r="38" spans="1:5" hidden="1" outlineLevel="3" x14ac:dyDescent="0.35">
      <c r="A38" s="754" t="s">
        <v>596</v>
      </c>
      <c r="B38" s="749">
        <v>4</v>
      </c>
      <c r="C38" s="750" t="s">
        <v>597</v>
      </c>
      <c r="D38" s="750"/>
      <c r="E38" s="750" t="s">
        <v>598</v>
      </c>
    </row>
    <row r="39" spans="1:5" hidden="1" outlineLevel="4" x14ac:dyDescent="0.35">
      <c r="A39" s="739" t="s">
        <v>599</v>
      </c>
      <c r="B39" s="755">
        <v>5</v>
      </c>
      <c r="C39" s="753" t="s">
        <v>600</v>
      </c>
      <c r="D39" s="753"/>
      <c r="E39" s="753" t="s">
        <v>601</v>
      </c>
    </row>
    <row r="40" spans="1:5" hidden="1" outlineLevel="5" x14ac:dyDescent="0.35">
      <c r="A40" s="754" t="s">
        <v>602</v>
      </c>
      <c r="B40" s="755">
        <v>6</v>
      </c>
      <c r="C40" s="756" t="s">
        <v>585</v>
      </c>
      <c r="D40" s="756"/>
      <c r="E40" s="757" t="s">
        <v>603</v>
      </c>
    </row>
    <row r="41" spans="1:5" hidden="1" outlineLevel="5" x14ac:dyDescent="0.35">
      <c r="A41" s="754" t="s">
        <v>604</v>
      </c>
      <c r="B41" s="755">
        <v>6</v>
      </c>
      <c r="C41" s="756" t="s">
        <v>605</v>
      </c>
      <c r="D41" s="756"/>
      <c r="E41" s="757" t="s">
        <v>606</v>
      </c>
    </row>
    <row r="42" spans="1:5" ht="29" hidden="1" outlineLevel="5" x14ac:dyDescent="0.35">
      <c r="A42" s="754" t="s">
        <v>607</v>
      </c>
      <c r="B42" s="755">
        <v>6</v>
      </c>
      <c r="C42" s="756" t="s">
        <v>608</v>
      </c>
      <c r="D42" s="756"/>
      <c r="E42" s="757" t="s">
        <v>609</v>
      </c>
    </row>
    <row r="43" spans="1:5" hidden="1" outlineLevel="5" x14ac:dyDescent="0.35">
      <c r="A43" s="754" t="s">
        <v>610</v>
      </c>
      <c r="B43" s="755">
        <v>6</v>
      </c>
      <c r="C43" s="756" t="s">
        <v>579</v>
      </c>
      <c r="D43" s="756"/>
      <c r="E43" s="757" t="s">
        <v>611</v>
      </c>
    </row>
    <row r="44" spans="1:5" hidden="1" outlineLevel="5" x14ac:dyDescent="0.35">
      <c r="A44" s="754" t="s">
        <v>612</v>
      </c>
      <c r="B44" s="755">
        <v>6</v>
      </c>
      <c r="C44" s="756" t="s">
        <v>613</v>
      </c>
      <c r="D44" s="756"/>
      <c r="E44" s="757" t="s">
        <v>614</v>
      </c>
    </row>
    <row r="45" spans="1:5" hidden="1" outlineLevel="5" x14ac:dyDescent="0.35">
      <c r="A45" s="754" t="s">
        <v>615</v>
      </c>
      <c r="B45" s="755">
        <v>6</v>
      </c>
      <c r="C45" s="756" t="s">
        <v>616</v>
      </c>
      <c r="D45" s="756"/>
      <c r="E45" s="757" t="s">
        <v>617</v>
      </c>
    </row>
    <row r="46" spans="1:5" ht="43.5" hidden="1" outlineLevel="3" x14ac:dyDescent="0.35">
      <c r="A46" s="754" t="s">
        <v>618</v>
      </c>
      <c r="B46" s="749">
        <v>4</v>
      </c>
      <c r="C46" s="750" t="s">
        <v>619</v>
      </c>
      <c r="D46" s="750"/>
      <c r="E46" s="750" t="s">
        <v>620</v>
      </c>
    </row>
    <row r="47" spans="1:5" ht="58" hidden="1" outlineLevel="4" x14ac:dyDescent="0.35">
      <c r="A47" s="754" t="s">
        <v>621</v>
      </c>
      <c r="B47" s="755">
        <v>5</v>
      </c>
      <c r="C47" s="753" t="s">
        <v>622</v>
      </c>
      <c r="D47" s="753"/>
      <c r="E47" s="753" t="s">
        <v>623</v>
      </c>
    </row>
    <row r="48" spans="1:5" ht="58" hidden="1" outlineLevel="4" x14ac:dyDescent="0.35">
      <c r="A48" s="754" t="s">
        <v>624</v>
      </c>
      <c r="B48" s="755">
        <v>5</v>
      </c>
      <c r="C48" s="753" t="s">
        <v>625</v>
      </c>
      <c r="D48" s="753"/>
      <c r="E48" s="753" t="s">
        <v>626</v>
      </c>
    </row>
    <row r="49" spans="1:5" ht="29" hidden="1" outlineLevel="4" x14ac:dyDescent="0.35">
      <c r="A49" s="754" t="s">
        <v>627</v>
      </c>
      <c r="B49" s="755">
        <v>5</v>
      </c>
      <c r="C49" s="753" t="s">
        <v>628</v>
      </c>
      <c r="D49" s="753"/>
      <c r="E49" s="753" t="s">
        <v>629</v>
      </c>
    </row>
    <row r="50" spans="1:5" hidden="1" outlineLevel="3" x14ac:dyDescent="0.35">
      <c r="A50" s="739" t="s">
        <v>630</v>
      </c>
      <c r="B50" s="749">
        <v>4</v>
      </c>
      <c r="C50" s="750" t="s">
        <v>631</v>
      </c>
      <c r="D50" s="750"/>
      <c r="E50" s="750" t="s">
        <v>632</v>
      </c>
    </row>
    <row r="51" spans="1:5" ht="29" hidden="1" outlineLevel="3" x14ac:dyDescent="0.35">
      <c r="A51" s="739" t="s">
        <v>633</v>
      </c>
      <c r="B51" s="749">
        <v>4</v>
      </c>
      <c r="C51" s="750" t="s">
        <v>634</v>
      </c>
      <c r="D51" s="750"/>
      <c r="E51" s="750" t="s">
        <v>635</v>
      </c>
    </row>
    <row r="52" spans="1:5" ht="72.5" hidden="1" outlineLevel="4" x14ac:dyDescent="0.35">
      <c r="A52" s="754" t="s">
        <v>636</v>
      </c>
      <c r="B52" s="755">
        <v>5</v>
      </c>
      <c r="C52" s="753" t="s">
        <v>637</v>
      </c>
      <c r="D52" s="753"/>
      <c r="E52" s="753" t="s">
        <v>638</v>
      </c>
    </row>
    <row r="53" spans="1:5" hidden="1" outlineLevel="4" x14ac:dyDescent="0.35">
      <c r="A53" s="754" t="s">
        <v>639</v>
      </c>
      <c r="B53" s="755">
        <v>5</v>
      </c>
      <c r="C53" s="753" t="s">
        <v>640</v>
      </c>
      <c r="D53" s="753"/>
      <c r="E53" s="753" t="s">
        <v>641</v>
      </c>
    </row>
    <row r="54" spans="1:5" ht="29" hidden="1" outlineLevel="4" x14ac:dyDescent="0.35">
      <c r="A54" s="754" t="s">
        <v>642</v>
      </c>
      <c r="B54" s="755">
        <v>5</v>
      </c>
      <c r="C54" s="753" t="s">
        <v>643</v>
      </c>
      <c r="D54" s="753"/>
      <c r="E54" s="753" t="s">
        <v>644</v>
      </c>
    </row>
    <row r="55" spans="1:5" hidden="1" outlineLevel="4" x14ac:dyDescent="0.35">
      <c r="A55" s="754" t="s">
        <v>645</v>
      </c>
      <c r="B55" s="755">
        <v>5</v>
      </c>
      <c r="C55" s="753" t="s">
        <v>646</v>
      </c>
      <c r="D55" s="753"/>
      <c r="E55" s="753" t="s">
        <v>647</v>
      </c>
    </row>
    <row r="56" spans="1:5" hidden="1" outlineLevel="3" x14ac:dyDescent="0.35">
      <c r="A56" s="739" t="s">
        <v>648</v>
      </c>
      <c r="B56" s="749">
        <v>4</v>
      </c>
      <c r="C56" s="750" t="s">
        <v>649</v>
      </c>
      <c r="D56" s="750"/>
      <c r="E56" s="750" t="s">
        <v>554</v>
      </c>
    </row>
    <row r="57" spans="1:5" ht="43.5" hidden="1" outlineLevel="3" x14ac:dyDescent="0.35">
      <c r="A57" s="739" t="s">
        <v>650</v>
      </c>
      <c r="B57" s="749">
        <v>4</v>
      </c>
      <c r="C57" s="750" t="s">
        <v>651</v>
      </c>
      <c r="D57" s="750"/>
      <c r="E57" s="750" t="s">
        <v>652</v>
      </c>
    </row>
    <row r="58" spans="1:5" ht="43.5" outlineLevel="1" x14ac:dyDescent="0.35">
      <c r="A58" s="436">
        <v>1.2</v>
      </c>
      <c r="B58" s="749">
        <v>2</v>
      </c>
      <c r="C58" s="750" t="s">
        <v>653</v>
      </c>
      <c r="D58" s="751">
        <f>SUM(D59:D233)</f>
        <v>2804.778350269466</v>
      </c>
      <c r="E58" s="750" t="s">
        <v>654</v>
      </c>
    </row>
    <row r="59" spans="1:5" ht="58" outlineLevel="2" collapsed="1" x14ac:dyDescent="0.35">
      <c r="A59" s="725" t="s">
        <v>9</v>
      </c>
      <c r="B59" s="749">
        <v>3</v>
      </c>
      <c r="C59" s="750" t="s">
        <v>655</v>
      </c>
      <c r="D59" s="751">
        <f>'CBS ($ per kW)'!P6-D90</f>
        <v>220.22774096385541</v>
      </c>
      <c r="E59" s="750" t="s">
        <v>656</v>
      </c>
    </row>
    <row r="60" spans="1:5" ht="29" hidden="1" outlineLevel="3" x14ac:dyDescent="0.35">
      <c r="A60" s="725" t="s">
        <v>657</v>
      </c>
      <c r="B60" s="749">
        <v>4</v>
      </c>
      <c r="C60" s="750" t="s">
        <v>658</v>
      </c>
      <c r="D60" s="750"/>
      <c r="E60" s="750" t="s">
        <v>659</v>
      </c>
    </row>
    <row r="61" spans="1:5" ht="29" hidden="1" outlineLevel="4" x14ac:dyDescent="0.35">
      <c r="A61" s="725" t="s">
        <v>660</v>
      </c>
      <c r="B61" s="755">
        <v>5</v>
      </c>
      <c r="C61" s="753" t="s">
        <v>661</v>
      </c>
      <c r="D61" s="753"/>
      <c r="E61" s="753" t="s">
        <v>662</v>
      </c>
    </row>
    <row r="62" spans="1:5" ht="29" hidden="1" outlineLevel="4" x14ac:dyDescent="0.35">
      <c r="A62" s="725" t="s">
        <v>663</v>
      </c>
      <c r="B62" s="755">
        <v>5</v>
      </c>
      <c r="C62" s="753" t="s">
        <v>664</v>
      </c>
      <c r="D62" s="753"/>
      <c r="E62" s="753" t="s">
        <v>665</v>
      </c>
    </row>
    <row r="63" spans="1:5" ht="29" hidden="1" outlineLevel="4" x14ac:dyDescent="0.35">
      <c r="A63" s="725" t="s">
        <v>666</v>
      </c>
      <c r="B63" s="755">
        <v>5</v>
      </c>
      <c r="C63" s="753" t="s">
        <v>667</v>
      </c>
      <c r="D63" s="753"/>
      <c r="E63" s="753" t="s">
        <v>668</v>
      </c>
    </row>
    <row r="64" spans="1:5" ht="29" hidden="1" outlineLevel="3" x14ac:dyDescent="0.35">
      <c r="A64" s="725" t="s">
        <v>669</v>
      </c>
      <c r="B64" s="749">
        <v>4</v>
      </c>
      <c r="C64" s="750" t="s">
        <v>670</v>
      </c>
      <c r="D64" s="750"/>
      <c r="E64" s="750" t="s">
        <v>671</v>
      </c>
    </row>
    <row r="65" spans="1:5" ht="43.5" hidden="1" outlineLevel="3" x14ac:dyDescent="0.35">
      <c r="A65" s="725" t="s">
        <v>672</v>
      </c>
      <c r="B65" s="749">
        <v>4</v>
      </c>
      <c r="C65" s="750" t="s">
        <v>673</v>
      </c>
      <c r="D65" s="750"/>
      <c r="E65" s="750" t="s">
        <v>674</v>
      </c>
    </row>
    <row r="66" spans="1:5" ht="43.5" hidden="1" outlineLevel="4" x14ac:dyDescent="0.35">
      <c r="A66" s="758" t="s">
        <v>675</v>
      </c>
      <c r="B66" s="755">
        <v>5</v>
      </c>
      <c r="C66" s="753" t="s">
        <v>676</v>
      </c>
      <c r="D66" s="753"/>
      <c r="E66" s="753" t="s">
        <v>677</v>
      </c>
    </row>
    <row r="67" spans="1:5" ht="87" hidden="1" outlineLevel="4" x14ac:dyDescent="0.35">
      <c r="A67" s="758" t="s">
        <v>678</v>
      </c>
      <c r="B67" s="755">
        <v>5</v>
      </c>
      <c r="C67" s="753" t="s">
        <v>679</v>
      </c>
      <c r="D67" s="753"/>
      <c r="E67" s="753" t="s">
        <v>680</v>
      </c>
    </row>
    <row r="68" spans="1:5" ht="43.5" hidden="1" outlineLevel="4" x14ac:dyDescent="0.35">
      <c r="A68" s="758" t="s">
        <v>681</v>
      </c>
      <c r="B68" s="755">
        <v>5</v>
      </c>
      <c r="C68" s="753" t="s">
        <v>682</v>
      </c>
      <c r="D68" s="753"/>
      <c r="E68" s="753" t="s">
        <v>683</v>
      </c>
    </row>
    <row r="69" spans="1:5" ht="58" hidden="1" outlineLevel="3" x14ac:dyDescent="0.35">
      <c r="A69" s="725" t="s">
        <v>684</v>
      </c>
      <c r="B69" s="749">
        <v>4</v>
      </c>
      <c r="C69" s="750" t="s">
        <v>685</v>
      </c>
      <c r="D69" s="750"/>
      <c r="E69" s="750" t="s">
        <v>686</v>
      </c>
    </row>
    <row r="70" spans="1:5" ht="43.5" hidden="1" outlineLevel="4" x14ac:dyDescent="0.35">
      <c r="A70" s="725" t="s">
        <v>687</v>
      </c>
      <c r="B70" s="755">
        <v>5</v>
      </c>
      <c r="C70" s="753" t="s">
        <v>688</v>
      </c>
      <c r="D70" s="753"/>
      <c r="E70" s="753" t="s">
        <v>689</v>
      </c>
    </row>
    <row r="71" spans="1:5" ht="29" hidden="1" outlineLevel="4" x14ac:dyDescent="0.35">
      <c r="A71" s="725" t="s">
        <v>690</v>
      </c>
      <c r="B71" s="755">
        <v>5</v>
      </c>
      <c r="C71" s="753" t="s">
        <v>691</v>
      </c>
      <c r="D71" s="753"/>
      <c r="E71" s="753" t="s">
        <v>692</v>
      </c>
    </row>
    <row r="72" spans="1:5" ht="43.5" hidden="1" outlineLevel="4" x14ac:dyDescent="0.35">
      <c r="A72" s="725" t="s">
        <v>693</v>
      </c>
      <c r="B72" s="755">
        <v>5</v>
      </c>
      <c r="C72" s="753" t="s">
        <v>694</v>
      </c>
      <c r="D72" s="753"/>
      <c r="E72" s="753" t="s">
        <v>695</v>
      </c>
    </row>
    <row r="73" spans="1:5" ht="29" hidden="1" outlineLevel="4" x14ac:dyDescent="0.35">
      <c r="A73" s="725" t="s">
        <v>696</v>
      </c>
      <c r="B73" s="755">
        <v>5</v>
      </c>
      <c r="C73" s="753" t="s">
        <v>697</v>
      </c>
      <c r="D73" s="753"/>
      <c r="E73" s="753" t="s">
        <v>698</v>
      </c>
    </row>
    <row r="74" spans="1:5" ht="58" hidden="1" outlineLevel="4" x14ac:dyDescent="0.35">
      <c r="A74" s="725" t="s">
        <v>699</v>
      </c>
      <c r="B74" s="755">
        <v>5</v>
      </c>
      <c r="C74" s="753" t="s">
        <v>700</v>
      </c>
      <c r="D74" s="753"/>
      <c r="E74" s="753" t="s">
        <v>701</v>
      </c>
    </row>
    <row r="75" spans="1:5" ht="58" hidden="1" outlineLevel="4" x14ac:dyDescent="0.35">
      <c r="A75" s="725" t="s">
        <v>702</v>
      </c>
      <c r="B75" s="755">
        <v>5</v>
      </c>
      <c r="C75" s="753" t="s">
        <v>703</v>
      </c>
      <c r="D75" s="753"/>
      <c r="E75" s="753" t="s">
        <v>704</v>
      </c>
    </row>
    <row r="76" spans="1:5" ht="29" hidden="1" outlineLevel="3" x14ac:dyDescent="0.35">
      <c r="A76" s="725" t="s">
        <v>705</v>
      </c>
      <c r="B76" s="749">
        <v>4</v>
      </c>
      <c r="C76" s="750" t="s">
        <v>706</v>
      </c>
      <c r="D76" s="750"/>
      <c r="E76" s="750" t="s">
        <v>707</v>
      </c>
    </row>
    <row r="77" spans="1:5" ht="87" hidden="1" outlineLevel="4" x14ac:dyDescent="0.35">
      <c r="A77" s="758" t="s">
        <v>708</v>
      </c>
      <c r="B77" s="755">
        <v>5</v>
      </c>
      <c r="C77" s="753" t="s">
        <v>709</v>
      </c>
      <c r="D77" s="753"/>
      <c r="E77" s="753" t="s">
        <v>710</v>
      </c>
    </row>
    <row r="78" spans="1:5" ht="58" hidden="1" outlineLevel="4" x14ac:dyDescent="0.35">
      <c r="A78" s="758" t="s">
        <v>711</v>
      </c>
      <c r="B78" s="755">
        <v>5</v>
      </c>
      <c r="C78" s="753" t="s">
        <v>712</v>
      </c>
      <c r="D78" s="753"/>
      <c r="E78" s="753" t="s">
        <v>713</v>
      </c>
    </row>
    <row r="79" spans="1:5" ht="29" hidden="1" outlineLevel="4" x14ac:dyDescent="0.35">
      <c r="A79" s="758" t="s">
        <v>714</v>
      </c>
      <c r="B79" s="755">
        <v>5</v>
      </c>
      <c r="C79" s="753" t="s">
        <v>715</v>
      </c>
      <c r="D79" s="753"/>
      <c r="E79" s="753" t="s">
        <v>716</v>
      </c>
    </row>
    <row r="80" spans="1:5" ht="29" hidden="1" outlineLevel="3" x14ac:dyDescent="0.35">
      <c r="A80" s="725" t="s">
        <v>717</v>
      </c>
      <c r="B80" s="749">
        <v>4</v>
      </c>
      <c r="C80" s="750" t="s">
        <v>718</v>
      </c>
      <c r="D80" s="750"/>
      <c r="E80" s="750" t="s">
        <v>719</v>
      </c>
    </row>
    <row r="81" spans="1:5" ht="29" hidden="1" outlineLevel="4" x14ac:dyDescent="0.35">
      <c r="A81" s="758" t="s">
        <v>720</v>
      </c>
      <c r="B81" s="755">
        <v>5</v>
      </c>
      <c r="C81" s="753" t="s">
        <v>721</v>
      </c>
      <c r="D81" s="753"/>
      <c r="E81" s="753" t="s">
        <v>722</v>
      </c>
    </row>
    <row r="82" spans="1:5" ht="58" hidden="1" outlineLevel="4" x14ac:dyDescent="0.35">
      <c r="A82" s="758" t="s">
        <v>723</v>
      </c>
      <c r="B82" s="755">
        <v>5</v>
      </c>
      <c r="C82" s="753" t="s">
        <v>724</v>
      </c>
      <c r="D82" s="753"/>
      <c r="E82" s="753" t="s">
        <v>725</v>
      </c>
    </row>
    <row r="83" spans="1:5" ht="43.5" hidden="1" outlineLevel="4" x14ac:dyDescent="0.35">
      <c r="A83" s="758" t="s">
        <v>726</v>
      </c>
      <c r="B83" s="755">
        <v>5</v>
      </c>
      <c r="C83" s="753" t="s">
        <v>727</v>
      </c>
      <c r="D83" s="753"/>
      <c r="E83" s="753" t="s">
        <v>728</v>
      </c>
    </row>
    <row r="84" spans="1:5" ht="58" hidden="1" outlineLevel="4" x14ac:dyDescent="0.35">
      <c r="A84" s="758" t="s">
        <v>729</v>
      </c>
      <c r="B84" s="755">
        <v>5</v>
      </c>
      <c r="C84" s="753" t="s">
        <v>730</v>
      </c>
      <c r="D84" s="753"/>
      <c r="E84" s="753" t="s">
        <v>731</v>
      </c>
    </row>
    <row r="85" spans="1:5" ht="60.75" hidden="1" customHeight="1" outlineLevel="3" x14ac:dyDescent="0.35">
      <c r="A85" s="725" t="s">
        <v>732</v>
      </c>
      <c r="B85" s="749">
        <v>4</v>
      </c>
      <c r="C85" s="750" t="s">
        <v>733</v>
      </c>
      <c r="D85" s="750"/>
      <c r="E85" s="750" t="s">
        <v>734</v>
      </c>
    </row>
    <row r="86" spans="1:5" ht="72.5" hidden="1" outlineLevel="4" x14ac:dyDescent="0.35">
      <c r="A86" s="758" t="s">
        <v>735</v>
      </c>
      <c r="B86" s="755">
        <v>5</v>
      </c>
      <c r="C86" s="753" t="s">
        <v>736</v>
      </c>
      <c r="D86" s="753"/>
      <c r="E86" s="753" t="s">
        <v>737</v>
      </c>
    </row>
    <row r="87" spans="1:5" ht="43.5" hidden="1" outlineLevel="4" x14ac:dyDescent="0.35">
      <c r="A87" s="758" t="s">
        <v>738</v>
      </c>
      <c r="B87" s="755">
        <v>5</v>
      </c>
      <c r="C87" s="753" t="s">
        <v>739</v>
      </c>
      <c r="D87" s="753"/>
      <c r="E87" s="753" t="s">
        <v>740</v>
      </c>
    </row>
    <row r="88" spans="1:5" ht="29" hidden="1" outlineLevel="4" x14ac:dyDescent="0.35">
      <c r="A88" s="758" t="s">
        <v>741</v>
      </c>
      <c r="B88" s="755">
        <v>5</v>
      </c>
      <c r="C88" s="753" t="s">
        <v>742</v>
      </c>
      <c r="D88" s="753"/>
      <c r="E88" s="753" t="s">
        <v>743</v>
      </c>
    </row>
    <row r="89" spans="1:5" ht="29" hidden="1" outlineLevel="4" x14ac:dyDescent="0.35">
      <c r="A89" s="758" t="s">
        <v>744</v>
      </c>
      <c r="B89" s="755">
        <v>5</v>
      </c>
      <c r="C89" s="753" t="s">
        <v>745</v>
      </c>
      <c r="D89" s="753"/>
      <c r="E89" s="753" t="s">
        <v>746</v>
      </c>
    </row>
    <row r="90" spans="1:5" ht="29" outlineLevel="2" collapsed="1" x14ac:dyDescent="0.35">
      <c r="A90" s="725" t="s">
        <v>11</v>
      </c>
      <c r="B90" s="749">
        <v>3</v>
      </c>
      <c r="C90" s="750" t="s">
        <v>747</v>
      </c>
      <c r="D90" s="751">
        <f>'CBS ($ per kW)'!P13</f>
        <v>46.524057040917981</v>
      </c>
      <c r="E90" s="750" t="s">
        <v>748</v>
      </c>
    </row>
    <row r="91" spans="1:5" hidden="1" outlineLevel="3" x14ac:dyDescent="0.35">
      <c r="A91" s="725" t="s">
        <v>749</v>
      </c>
      <c r="B91" s="749">
        <v>4</v>
      </c>
      <c r="C91" s="750" t="s">
        <v>750</v>
      </c>
      <c r="D91" s="750"/>
      <c r="E91" s="750" t="s">
        <v>751</v>
      </c>
    </row>
    <row r="92" spans="1:5" ht="29" hidden="1" outlineLevel="3" x14ac:dyDescent="0.35">
      <c r="A92" s="725" t="s">
        <v>752</v>
      </c>
      <c r="B92" s="749">
        <v>4</v>
      </c>
      <c r="C92" s="750" t="s">
        <v>753</v>
      </c>
      <c r="D92" s="750"/>
      <c r="E92" s="750" t="s">
        <v>754</v>
      </c>
    </row>
    <row r="93" spans="1:5" hidden="1" outlineLevel="3" x14ac:dyDescent="0.35">
      <c r="A93" s="725" t="s">
        <v>755</v>
      </c>
      <c r="B93" s="749">
        <v>4</v>
      </c>
      <c r="C93" s="750" t="s">
        <v>756</v>
      </c>
      <c r="D93" s="750"/>
      <c r="E93" s="750" t="s">
        <v>757</v>
      </c>
    </row>
    <row r="94" spans="1:5" ht="29" hidden="1" outlineLevel="4" x14ac:dyDescent="0.35">
      <c r="A94" s="758" t="s">
        <v>758</v>
      </c>
      <c r="B94" s="755">
        <v>5</v>
      </c>
      <c r="C94" s="753" t="s">
        <v>724</v>
      </c>
      <c r="D94" s="753"/>
      <c r="E94" s="753" t="s">
        <v>759</v>
      </c>
    </row>
    <row r="95" spans="1:5" ht="43.5" hidden="1" outlineLevel="4" x14ac:dyDescent="0.35">
      <c r="A95" s="758" t="s">
        <v>760</v>
      </c>
      <c r="B95" s="755">
        <v>5</v>
      </c>
      <c r="C95" s="753" t="s">
        <v>761</v>
      </c>
      <c r="D95" s="753"/>
      <c r="E95" s="753" t="s">
        <v>762</v>
      </c>
    </row>
    <row r="96" spans="1:5" ht="29" hidden="1" outlineLevel="4" x14ac:dyDescent="0.35">
      <c r="A96" s="758" t="s">
        <v>763</v>
      </c>
      <c r="B96" s="755">
        <v>5</v>
      </c>
      <c r="C96" s="753" t="s">
        <v>764</v>
      </c>
      <c r="D96" s="753"/>
      <c r="E96" s="753" t="s">
        <v>765</v>
      </c>
    </row>
    <row r="97" spans="1:5" ht="58" hidden="1" outlineLevel="3" x14ac:dyDescent="0.35">
      <c r="A97" s="725" t="s">
        <v>766</v>
      </c>
      <c r="B97" s="749">
        <v>4</v>
      </c>
      <c r="C97" s="750" t="s">
        <v>767</v>
      </c>
      <c r="D97" s="750"/>
      <c r="E97" s="750" t="s">
        <v>768</v>
      </c>
    </row>
    <row r="98" spans="1:5" ht="43.5" hidden="1" outlineLevel="3" x14ac:dyDescent="0.35">
      <c r="A98" s="725" t="s">
        <v>769</v>
      </c>
      <c r="B98" s="749">
        <v>4</v>
      </c>
      <c r="C98" s="750" t="s">
        <v>770</v>
      </c>
      <c r="D98" s="750"/>
      <c r="E98" s="750" t="s">
        <v>771</v>
      </c>
    </row>
    <row r="99" spans="1:5" ht="29" hidden="1" outlineLevel="4" x14ac:dyDescent="0.35">
      <c r="A99" s="754" t="s">
        <v>772</v>
      </c>
      <c r="B99" s="755">
        <v>5</v>
      </c>
      <c r="C99" s="753" t="s">
        <v>773</v>
      </c>
      <c r="D99" s="753"/>
      <c r="E99" s="753" t="s">
        <v>774</v>
      </c>
    </row>
    <row r="100" spans="1:5" ht="29" hidden="1" outlineLevel="4" x14ac:dyDescent="0.35">
      <c r="A100" s="759" t="s">
        <v>775</v>
      </c>
      <c r="B100" s="755">
        <v>5</v>
      </c>
      <c r="C100" s="753" t="s">
        <v>776</v>
      </c>
      <c r="D100" s="753"/>
      <c r="E100" s="753" t="s">
        <v>777</v>
      </c>
    </row>
    <row r="101" spans="1:5" ht="29" outlineLevel="2" collapsed="1" x14ac:dyDescent="0.35">
      <c r="A101" s="725" t="s">
        <v>13</v>
      </c>
      <c r="B101" s="749">
        <v>3</v>
      </c>
      <c r="C101" s="750" t="s">
        <v>778</v>
      </c>
      <c r="D101" s="751">
        <f>'CBS ($ per kW)'!P15+'CBS ($ per kW)'!P16+'CBS ($ per kW)'!P37</f>
        <v>553.31325301204822</v>
      </c>
      <c r="E101" s="750" t="s">
        <v>779</v>
      </c>
    </row>
    <row r="102" spans="1:5" ht="29" hidden="1" outlineLevel="3" x14ac:dyDescent="0.35">
      <c r="A102" s="725" t="s">
        <v>780</v>
      </c>
      <c r="B102" s="749">
        <v>4</v>
      </c>
      <c r="C102" s="750" t="s">
        <v>781</v>
      </c>
      <c r="D102" s="750"/>
      <c r="E102" s="750" t="s">
        <v>782</v>
      </c>
    </row>
    <row r="103" spans="1:5" ht="43.5" hidden="1" outlineLevel="4" x14ac:dyDescent="0.35">
      <c r="A103" s="758" t="s">
        <v>783</v>
      </c>
      <c r="B103" s="755">
        <v>5</v>
      </c>
      <c r="C103" s="753" t="s">
        <v>784</v>
      </c>
      <c r="D103" s="753"/>
      <c r="E103" s="753" t="s">
        <v>785</v>
      </c>
    </row>
    <row r="104" spans="1:5" ht="29" hidden="1" outlineLevel="4" x14ac:dyDescent="0.35">
      <c r="A104" s="760" t="s">
        <v>786</v>
      </c>
      <c r="B104" s="755">
        <v>5</v>
      </c>
      <c r="C104" s="753" t="s">
        <v>787</v>
      </c>
      <c r="D104" s="753"/>
      <c r="E104" s="753" t="s">
        <v>788</v>
      </c>
    </row>
    <row r="105" spans="1:5" ht="29" hidden="1" outlineLevel="5" x14ac:dyDescent="0.35">
      <c r="A105" s="760" t="s">
        <v>789</v>
      </c>
      <c r="B105" s="755">
        <v>6</v>
      </c>
      <c r="C105" s="756" t="s">
        <v>790</v>
      </c>
      <c r="D105" s="756"/>
      <c r="E105" s="757" t="s">
        <v>791</v>
      </c>
    </row>
    <row r="106" spans="1:5" ht="29" hidden="1" outlineLevel="5" x14ac:dyDescent="0.35">
      <c r="A106" s="760" t="s">
        <v>792</v>
      </c>
      <c r="B106" s="755">
        <v>6</v>
      </c>
      <c r="C106" s="756" t="s">
        <v>793</v>
      </c>
      <c r="D106" s="756"/>
      <c r="E106" s="757" t="s">
        <v>794</v>
      </c>
    </row>
    <row r="107" spans="1:5" ht="29" hidden="1" outlineLevel="5" x14ac:dyDescent="0.35">
      <c r="A107" s="754" t="s">
        <v>795</v>
      </c>
      <c r="B107" s="755">
        <v>6</v>
      </c>
      <c r="C107" s="756" t="s">
        <v>796</v>
      </c>
      <c r="D107" s="756"/>
      <c r="E107" s="757" t="s">
        <v>797</v>
      </c>
    </row>
    <row r="108" spans="1:5" ht="29" hidden="1" outlineLevel="5" x14ac:dyDescent="0.35">
      <c r="A108" s="754" t="s">
        <v>798</v>
      </c>
      <c r="B108" s="755">
        <v>6</v>
      </c>
      <c r="C108" s="756" t="s">
        <v>799</v>
      </c>
      <c r="D108" s="756"/>
      <c r="E108" s="757" t="s">
        <v>800</v>
      </c>
    </row>
    <row r="109" spans="1:5" ht="29" hidden="1" outlineLevel="5" x14ac:dyDescent="0.35">
      <c r="A109" s="758" t="s">
        <v>801</v>
      </c>
      <c r="B109" s="755">
        <v>6</v>
      </c>
      <c r="C109" s="756" t="s">
        <v>802</v>
      </c>
      <c r="D109" s="756"/>
      <c r="E109" s="757" t="s">
        <v>803</v>
      </c>
    </row>
    <row r="110" spans="1:5" ht="29" hidden="1" outlineLevel="4" x14ac:dyDescent="0.35">
      <c r="A110" s="758" t="s">
        <v>804</v>
      </c>
      <c r="B110" s="755">
        <v>5</v>
      </c>
      <c r="C110" s="753" t="s">
        <v>805</v>
      </c>
      <c r="D110" s="753"/>
      <c r="E110" s="753" t="s">
        <v>806</v>
      </c>
    </row>
    <row r="111" spans="1:5" ht="29" hidden="1" outlineLevel="5" x14ac:dyDescent="0.35">
      <c r="A111" s="754" t="s">
        <v>807</v>
      </c>
      <c r="B111" s="755">
        <v>6</v>
      </c>
      <c r="C111" s="756" t="s">
        <v>808</v>
      </c>
      <c r="D111" s="756"/>
      <c r="E111" s="757" t="s">
        <v>809</v>
      </c>
    </row>
    <row r="112" spans="1:5" ht="29" hidden="1" outlineLevel="5" x14ac:dyDescent="0.35">
      <c r="A112" s="754" t="s">
        <v>810</v>
      </c>
      <c r="B112" s="755">
        <v>6</v>
      </c>
      <c r="C112" s="756" t="s">
        <v>811</v>
      </c>
      <c r="D112" s="756"/>
      <c r="E112" s="757" t="s">
        <v>812</v>
      </c>
    </row>
    <row r="113" spans="1:5" ht="29" hidden="1" outlineLevel="5" x14ac:dyDescent="0.35">
      <c r="A113" s="754" t="s">
        <v>813</v>
      </c>
      <c r="B113" s="755">
        <v>6</v>
      </c>
      <c r="C113" s="756" t="s">
        <v>814</v>
      </c>
      <c r="D113" s="756"/>
      <c r="E113" s="757" t="s">
        <v>815</v>
      </c>
    </row>
    <row r="114" spans="1:5" ht="29" hidden="1" outlineLevel="5" x14ac:dyDescent="0.35">
      <c r="A114" s="754" t="s">
        <v>816</v>
      </c>
      <c r="B114" s="755">
        <v>6</v>
      </c>
      <c r="C114" s="756" t="s">
        <v>817</v>
      </c>
      <c r="D114" s="756"/>
      <c r="E114" s="757" t="s">
        <v>818</v>
      </c>
    </row>
    <row r="115" spans="1:5" ht="29" hidden="1" outlineLevel="5" x14ac:dyDescent="0.35">
      <c r="A115" s="754" t="s">
        <v>819</v>
      </c>
      <c r="B115" s="755">
        <v>6</v>
      </c>
      <c r="C115" s="756" t="s">
        <v>820</v>
      </c>
      <c r="D115" s="756"/>
      <c r="E115" s="757" t="s">
        <v>821</v>
      </c>
    </row>
    <row r="116" spans="1:5" ht="43.5" hidden="1" outlineLevel="5" x14ac:dyDescent="0.35">
      <c r="A116" s="758" t="s">
        <v>822</v>
      </c>
      <c r="B116" s="755">
        <v>6</v>
      </c>
      <c r="C116" s="756" t="s">
        <v>823</v>
      </c>
      <c r="D116" s="756"/>
      <c r="E116" s="757" t="s">
        <v>824</v>
      </c>
    </row>
    <row r="117" spans="1:5" ht="29" hidden="1" outlineLevel="4" x14ac:dyDescent="0.35">
      <c r="A117" s="758" t="s">
        <v>825</v>
      </c>
      <c r="B117" s="755">
        <v>5</v>
      </c>
      <c r="C117" s="753" t="s">
        <v>826</v>
      </c>
      <c r="D117" s="753"/>
      <c r="E117" s="753" t="s">
        <v>827</v>
      </c>
    </row>
    <row r="118" spans="1:5" ht="58" hidden="1" outlineLevel="3" x14ac:dyDescent="0.35">
      <c r="A118" s="725" t="s">
        <v>828</v>
      </c>
      <c r="B118" s="749">
        <v>4</v>
      </c>
      <c r="C118" s="750" t="s">
        <v>829</v>
      </c>
      <c r="D118" s="750"/>
      <c r="E118" s="750" t="s">
        <v>830</v>
      </c>
    </row>
    <row r="119" spans="1:5" ht="43.5" hidden="1" outlineLevel="4" x14ac:dyDescent="0.35">
      <c r="A119" s="758" t="s">
        <v>831</v>
      </c>
      <c r="B119" s="755">
        <v>5</v>
      </c>
      <c r="C119" s="753" t="s">
        <v>832</v>
      </c>
      <c r="D119" s="753"/>
      <c r="E119" s="753" t="s">
        <v>833</v>
      </c>
    </row>
    <row r="120" spans="1:5" ht="29" hidden="1" outlineLevel="4" x14ac:dyDescent="0.35">
      <c r="A120" s="758" t="s">
        <v>834</v>
      </c>
      <c r="B120" s="755">
        <v>5</v>
      </c>
      <c r="C120" s="753" t="s">
        <v>835</v>
      </c>
      <c r="D120" s="753"/>
      <c r="E120" s="753" t="s">
        <v>788</v>
      </c>
    </row>
    <row r="121" spans="1:5" ht="29" hidden="1" outlineLevel="5" x14ac:dyDescent="0.35">
      <c r="A121" s="758" t="s">
        <v>836</v>
      </c>
      <c r="B121" s="755">
        <v>6</v>
      </c>
      <c r="C121" s="756" t="s">
        <v>790</v>
      </c>
      <c r="D121" s="756"/>
      <c r="E121" s="757" t="s">
        <v>791</v>
      </c>
    </row>
    <row r="122" spans="1:5" ht="29" hidden="1" outlineLevel="5" x14ac:dyDescent="0.35">
      <c r="A122" s="761" t="s">
        <v>837</v>
      </c>
      <c r="B122" s="755">
        <v>6</v>
      </c>
      <c r="C122" s="756" t="s">
        <v>793</v>
      </c>
      <c r="D122" s="756"/>
      <c r="E122" s="757" t="s">
        <v>794</v>
      </c>
    </row>
    <row r="123" spans="1:5" ht="29" hidden="1" outlineLevel="5" x14ac:dyDescent="0.35">
      <c r="A123" s="761" t="s">
        <v>838</v>
      </c>
      <c r="B123" s="755">
        <v>6</v>
      </c>
      <c r="C123" s="756" t="s">
        <v>796</v>
      </c>
      <c r="D123" s="756"/>
      <c r="E123" s="757" t="s">
        <v>797</v>
      </c>
    </row>
    <row r="124" spans="1:5" ht="29" hidden="1" outlineLevel="5" x14ac:dyDescent="0.35">
      <c r="A124" s="758" t="s">
        <v>839</v>
      </c>
      <c r="B124" s="755">
        <v>6</v>
      </c>
      <c r="C124" s="756" t="s">
        <v>799</v>
      </c>
      <c r="D124" s="756"/>
      <c r="E124" s="757" t="s">
        <v>800</v>
      </c>
    </row>
    <row r="125" spans="1:5" ht="29" hidden="1" outlineLevel="5" x14ac:dyDescent="0.35">
      <c r="A125" s="758" t="s">
        <v>840</v>
      </c>
      <c r="B125" s="755">
        <v>6</v>
      </c>
      <c r="C125" s="756" t="s">
        <v>802</v>
      </c>
      <c r="D125" s="756"/>
      <c r="E125" s="757" t="s">
        <v>803</v>
      </c>
    </row>
    <row r="126" spans="1:5" ht="29" hidden="1" outlineLevel="4" x14ac:dyDescent="0.35">
      <c r="A126" s="758" t="s">
        <v>841</v>
      </c>
      <c r="B126" s="755">
        <v>5</v>
      </c>
      <c r="C126" s="753" t="s">
        <v>805</v>
      </c>
      <c r="D126" s="753"/>
      <c r="E126" s="753" t="s">
        <v>842</v>
      </c>
    </row>
    <row r="127" spans="1:5" ht="29" hidden="1" outlineLevel="5" x14ac:dyDescent="0.35">
      <c r="A127" s="758" t="s">
        <v>843</v>
      </c>
      <c r="B127" s="755">
        <v>6</v>
      </c>
      <c r="C127" s="756" t="s">
        <v>808</v>
      </c>
      <c r="D127" s="756"/>
      <c r="E127" s="757" t="s">
        <v>844</v>
      </c>
    </row>
    <row r="128" spans="1:5" ht="29" hidden="1" outlineLevel="5" x14ac:dyDescent="0.35">
      <c r="A128" s="754" t="s">
        <v>845</v>
      </c>
      <c r="B128" s="755">
        <v>6</v>
      </c>
      <c r="C128" s="756" t="s">
        <v>811</v>
      </c>
      <c r="D128" s="756"/>
      <c r="E128" s="757" t="s">
        <v>812</v>
      </c>
    </row>
    <row r="129" spans="1:5" ht="29" hidden="1" outlineLevel="5" x14ac:dyDescent="0.35">
      <c r="A129" s="754" t="s">
        <v>846</v>
      </c>
      <c r="B129" s="755">
        <v>6</v>
      </c>
      <c r="C129" s="756" t="s">
        <v>814</v>
      </c>
      <c r="D129" s="756"/>
      <c r="E129" s="757" t="s">
        <v>815</v>
      </c>
    </row>
    <row r="130" spans="1:5" ht="29" hidden="1" outlineLevel="5" x14ac:dyDescent="0.35">
      <c r="A130" s="754" t="s">
        <v>847</v>
      </c>
      <c r="B130" s="755">
        <v>6</v>
      </c>
      <c r="C130" s="756" t="s">
        <v>817</v>
      </c>
      <c r="D130" s="756"/>
      <c r="E130" s="757" t="s">
        <v>818</v>
      </c>
    </row>
    <row r="131" spans="1:5" ht="29" hidden="1" outlineLevel="5" x14ac:dyDescent="0.35">
      <c r="A131" s="754" t="s">
        <v>848</v>
      </c>
      <c r="B131" s="755">
        <v>6</v>
      </c>
      <c r="C131" s="756" t="s">
        <v>820</v>
      </c>
      <c r="D131" s="756"/>
      <c r="E131" s="757" t="s">
        <v>821</v>
      </c>
    </row>
    <row r="132" spans="1:5" ht="29" hidden="1" outlineLevel="4" x14ac:dyDescent="0.35">
      <c r="A132" s="758" t="s">
        <v>849</v>
      </c>
      <c r="B132" s="755">
        <v>5</v>
      </c>
      <c r="C132" s="753" t="s">
        <v>850</v>
      </c>
      <c r="D132" s="753"/>
      <c r="E132" s="753" t="s">
        <v>851</v>
      </c>
    </row>
    <row r="133" spans="1:5" ht="58" hidden="1" outlineLevel="3" x14ac:dyDescent="0.35">
      <c r="A133" s="725" t="s">
        <v>852</v>
      </c>
      <c r="B133" s="749">
        <v>4</v>
      </c>
      <c r="C133" s="750" t="s">
        <v>853</v>
      </c>
      <c r="D133" s="750"/>
      <c r="E133" s="750" t="s">
        <v>854</v>
      </c>
    </row>
    <row r="134" spans="1:5" ht="58" hidden="1" outlineLevel="4" x14ac:dyDescent="0.35">
      <c r="A134" s="754" t="s">
        <v>855</v>
      </c>
      <c r="B134" s="755">
        <v>5</v>
      </c>
      <c r="C134" s="753" t="s">
        <v>856</v>
      </c>
      <c r="D134" s="753"/>
      <c r="E134" s="753" t="s">
        <v>857</v>
      </c>
    </row>
    <row r="135" spans="1:5" ht="29" hidden="1" outlineLevel="5" x14ac:dyDescent="0.35">
      <c r="A135" s="758" t="s">
        <v>858</v>
      </c>
      <c r="B135" s="755">
        <v>6</v>
      </c>
      <c r="C135" s="756" t="s">
        <v>859</v>
      </c>
      <c r="D135" s="756"/>
      <c r="E135" s="757" t="s">
        <v>860</v>
      </c>
    </row>
    <row r="136" spans="1:5" hidden="1" outlineLevel="5" x14ac:dyDescent="0.35">
      <c r="A136" s="758" t="s">
        <v>861</v>
      </c>
      <c r="B136" s="755">
        <v>6</v>
      </c>
      <c r="C136" s="756" t="s">
        <v>862</v>
      </c>
      <c r="D136" s="756"/>
      <c r="E136" s="757" t="s">
        <v>863</v>
      </c>
    </row>
    <row r="137" spans="1:5" ht="29" hidden="1" outlineLevel="5" x14ac:dyDescent="0.35">
      <c r="A137" s="758" t="s">
        <v>864</v>
      </c>
      <c r="B137" s="755">
        <v>6</v>
      </c>
      <c r="C137" s="756" t="s">
        <v>865</v>
      </c>
      <c r="D137" s="756"/>
      <c r="E137" s="757" t="s">
        <v>866</v>
      </c>
    </row>
    <row r="138" spans="1:5" ht="29" hidden="1" outlineLevel="5" x14ac:dyDescent="0.35">
      <c r="A138" s="758" t="s">
        <v>867</v>
      </c>
      <c r="B138" s="755">
        <v>6</v>
      </c>
      <c r="C138" s="756" t="s">
        <v>868</v>
      </c>
      <c r="D138" s="756"/>
      <c r="E138" s="757" t="s">
        <v>869</v>
      </c>
    </row>
    <row r="139" spans="1:5" hidden="1" outlineLevel="5" x14ac:dyDescent="0.35">
      <c r="A139" s="758" t="s">
        <v>870</v>
      </c>
      <c r="B139" s="755">
        <v>6</v>
      </c>
      <c r="C139" s="756" t="s">
        <v>871</v>
      </c>
      <c r="D139" s="756"/>
      <c r="E139" s="757" t="s">
        <v>872</v>
      </c>
    </row>
    <row r="140" spans="1:5" ht="58" hidden="1" outlineLevel="5" x14ac:dyDescent="0.35">
      <c r="A140" s="758" t="s">
        <v>873</v>
      </c>
      <c r="B140" s="755">
        <v>6</v>
      </c>
      <c r="C140" s="756" t="s">
        <v>874</v>
      </c>
      <c r="D140" s="756"/>
      <c r="E140" s="757" t="s">
        <v>875</v>
      </c>
    </row>
    <row r="141" spans="1:5" ht="29" hidden="1" outlineLevel="5" x14ac:dyDescent="0.35">
      <c r="A141" s="758" t="s">
        <v>876</v>
      </c>
      <c r="B141" s="755">
        <v>6</v>
      </c>
      <c r="C141" s="756" t="s">
        <v>877</v>
      </c>
      <c r="D141" s="756"/>
      <c r="E141" s="757" t="s">
        <v>878</v>
      </c>
    </row>
    <row r="142" spans="1:5" ht="29" hidden="1" outlineLevel="4" x14ac:dyDescent="0.35">
      <c r="A142" s="758" t="s">
        <v>879</v>
      </c>
      <c r="B142" s="755">
        <v>5</v>
      </c>
      <c r="C142" s="753" t="s">
        <v>880</v>
      </c>
      <c r="D142" s="753"/>
      <c r="E142" s="753" t="s">
        <v>881</v>
      </c>
    </row>
    <row r="143" spans="1:5" ht="29" hidden="1" outlineLevel="5" x14ac:dyDescent="0.35">
      <c r="A143" s="758" t="s">
        <v>882</v>
      </c>
      <c r="B143" s="755">
        <v>6</v>
      </c>
      <c r="C143" s="756" t="s">
        <v>883</v>
      </c>
      <c r="D143" s="756"/>
      <c r="E143" s="757" t="s">
        <v>884</v>
      </c>
    </row>
    <row r="144" spans="1:5" ht="29" hidden="1" outlineLevel="5" x14ac:dyDescent="0.35">
      <c r="A144" s="758" t="s">
        <v>885</v>
      </c>
      <c r="B144" s="755">
        <v>6</v>
      </c>
      <c r="C144" s="756" t="s">
        <v>886</v>
      </c>
      <c r="D144" s="756"/>
      <c r="E144" s="757" t="s">
        <v>887</v>
      </c>
    </row>
    <row r="145" spans="1:5" ht="29" hidden="1" outlineLevel="5" x14ac:dyDescent="0.35">
      <c r="A145" s="758" t="s">
        <v>888</v>
      </c>
      <c r="B145" s="755">
        <v>6</v>
      </c>
      <c r="C145" s="756" t="s">
        <v>889</v>
      </c>
      <c r="D145" s="756"/>
      <c r="E145" s="757" t="s">
        <v>890</v>
      </c>
    </row>
    <row r="146" spans="1:5" ht="29" hidden="1" outlineLevel="5" x14ac:dyDescent="0.35">
      <c r="A146" s="758" t="s">
        <v>891</v>
      </c>
      <c r="B146" s="755">
        <v>6</v>
      </c>
      <c r="C146" s="756" t="s">
        <v>892</v>
      </c>
      <c r="D146" s="756"/>
      <c r="E146" s="757" t="s">
        <v>893</v>
      </c>
    </row>
    <row r="147" spans="1:5" ht="58" hidden="1" outlineLevel="5" x14ac:dyDescent="0.35">
      <c r="A147" s="758" t="s">
        <v>894</v>
      </c>
      <c r="B147" s="755">
        <v>6</v>
      </c>
      <c r="C147" s="756" t="s">
        <v>895</v>
      </c>
      <c r="D147" s="756"/>
      <c r="E147" s="757" t="s">
        <v>896</v>
      </c>
    </row>
    <row r="148" spans="1:5" ht="29" hidden="1" outlineLevel="5" x14ac:dyDescent="0.35">
      <c r="A148" s="758" t="s">
        <v>897</v>
      </c>
      <c r="B148" s="755">
        <v>6</v>
      </c>
      <c r="C148" s="756" t="s">
        <v>877</v>
      </c>
      <c r="D148" s="756"/>
      <c r="E148" s="757" t="s">
        <v>878</v>
      </c>
    </row>
    <row r="149" spans="1:5" ht="29" hidden="1" outlineLevel="4" x14ac:dyDescent="0.35">
      <c r="A149" s="758" t="s">
        <v>898</v>
      </c>
      <c r="B149" s="755">
        <v>5</v>
      </c>
      <c r="C149" s="753" t="s">
        <v>899</v>
      </c>
      <c r="D149" s="753"/>
      <c r="E149" s="753" t="s">
        <v>900</v>
      </c>
    </row>
    <row r="150" spans="1:5" ht="29" hidden="1" outlineLevel="5" x14ac:dyDescent="0.35">
      <c r="A150" s="758" t="s">
        <v>901</v>
      </c>
      <c r="B150" s="755">
        <v>6</v>
      </c>
      <c r="C150" s="756" t="s">
        <v>902</v>
      </c>
      <c r="D150" s="756"/>
      <c r="E150" s="757" t="s">
        <v>903</v>
      </c>
    </row>
    <row r="151" spans="1:5" ht="29" hidden="1" outlineLevel="5" x14ac:dyDescent="0.35">
      <c r="A151" s="758" t="s">
        <v>904</v>
      </c>
      <c r="B151" s="755">
        <v>6</v>
      </c>
      <c r="C151" s="756" t="s">
        <v>905</v>
      </c>
      <c r="D151" s="756"/>
      <c r="E151" s="757" t="s">
        <v>906</v>
      </c>
    </row>
    <row r="152" spans="1:5" ht="29" hidden="1" outlineLevel="5" x14ac:dyDescent="0.35">
      <c r="A152" s="758" t="s">
        <v>907</v>
      </c>
      <c r="B152" s="755">
        <v>6</v>
      </c>
      <c r="C152" s="756" t="s">
        <v>908</v>
      </c>
      <c r="D152" s="756"/>
      <c r="E152" s="757" t="s">
        <v>909</v>
      </c>
    </row>
    <row r="153" spans="1:5" hidden="1" outlineLevel="5" x14ac:dyDescent="0.35">
      <c r="A153" s="758" t="s">
        <v>910</v>
      </c>
      <c r="B153" s="755">
        <v>6</v>
      </c>
      <c r="C153" s="756" t="s">
        <v>911</v>
      </c>
      <c r="D153" s="756"/>
      <c r="E153" s="757" t="s">
        <v>912</v>
      </c>
    </row>
    <row r="154" spans="1:5" ht="29" hidden="1" outlineLevel="5" x14ac:dyDescent="0.35">
      <c r="A154" s="758" t="s">
        <v>913</v>
      </c>
      <c r="B154" s="755">
        <v>6</v>
      </c>
      <c r="C154" s="756" t="s">
        <v>914</v>
      </c>
      <c r="D154" s="756"/>
      <c r="E154" s="757" t="s">
        <v>915</v>
      </c>
    </row>
    <row r="155" spans="1:5" hidden="1" outlineLevel="5" x14ac:dyDescent="0.35">
      <c r="A155" s="758" t="s">
        <v>916</v>
      </c>
      <c r="B155" s="755">
        <v>6</v>
      </c>
      <c r="C155" s="756" t="s">
        <v>917</v>
      </c>
      <c r="D155" s="756"/>
      <c r="E155" s="757" t="s">
        <v>918</v>
      </c>
    </row>
    <row r="156" spans="1:5" ht="58" hidden="1" outlineLevel="5" x14ac:dyDescent="0.35">
      <c r="A156" s="758" t="s">
        <v>919</v>
      </c>
      <c r="B156" s="755">
        <v>6</v>
      </c>
      <c r="C156" s="756" t="s">
        <v>920</v>
      </c>
      <c r="D156" s="756"/>
      <c r="E156" s="757" t="s">
        <v>875</v>
      </c>
    </row>
    <row r="157" spans="1:5" ht="29" hidden="1" outlineLevel="5" x14ac:dyDescent="0.35">
      <c r="A157" s="758" t="s">
        <v>921</v>
      </c>
      <c r="B157" s="755">
        <v>6</v>
      </c>
      <c r="C157" s="756" t="s">
        <v>877</v>
      </c>
      <c r="D157" s="756"/>
      <c r="E157" s="757" t="s">
        <v>922</v>
      </c>
    </row>
    <row r="158" spans="1:5" ht="29" hidden="1" outlineLevel="4" x14ac:dyDescent="0.35">
      <c r="A158" s="758" t="s">
        <v>923</v>
      </c>
      <c r="B158" s="755">
        <v>5</v>
      </c>
      <c r="C158" s="753" t="s">
        <v>924</v>
      </c>
      <c r="D158" s="753"/>
      <c r="E158" s="753" t="s">
        <v>925</v>
      </c>
    </row>
    <row r="159" spans="1:5" ht="29" hidden="1" outlineLevel="5" x14ac:dyDescent="0.35">
      <c r="A159" s="758" t="s">
        <v>926</v>
      </c>
      <c r="B159" s="755">
        <v>6</v>
      </c>
      <c r="C159" s="756" t="s">
        <v>927</v>
      </c>
      <c r="D159" s="756"/>
      <c r="E159" s="757" t="s">
        <v>928</v>
      </c>
    </row>
    <row r="160" spans="1:5" hidden="1" outlineLevel="5" x14ac:dyDescent="0.35">
      <c r="A160" s="758" t="s">
        <v>929</v>
      </c>
      <c r="B160" s="755">
        <v>6</v>
      </c>
      <c r="C160" s="756" t="s">
        <v>930</v>
      </c>
      <c r="D160" s="756"/>
      <c r="E160" s="757" t="s">
        <v>931</v>
      </c>
    </row>
    <row r="161" spans="1:5" hidden="1" outlineLevel="5" x14ac:dyDescent="0.35">
      <c r="A161" s="758" t="s">
        <v>932</v>
      </c>
      <c r="B161" s="755">
        <v>6</v>
      </c>
      <c r="C161" s="756" t="s">
        <v>933</v>
      </c>
      <c r="D161" s="756"/>
      <c r="E161" s="757" t="s">
        <v>934</v>
      </c>
    </row>
    <row r="162" spans="1:5" ht="29" hidden="1" outlineLevel="5" x14ac:dyDescent="0.35">
      <c r="A162" s="758" t="s">
        <v>935</v>
      </c>
      <c r="B162" s="755">
        <v>6</v>
      </c>
      <c r="C162" s="756" t="s">
        <v>936</v>
      </c>
      <c r="D162" s="756"/>
      <c r="E162" s="757" t="s">
        <v>937</v>
      </c>
    </row>
    <row r="163" spans="1:5" ht="58" hidden="1" outlineLevel="5" x14ac:dyDescent="0.35">
      <c r="A163" s="758" t="s">
        <v>938</v>
      </c>
      <c r="B163" s="755">
        <v>6</v>
      </c>
      <c r="C163" s="756" t="s">
        <v>939</v>
      </c>
      <c r="D163" s="756"/>
      <c r="E163" s="757" t="s">
        <v>940</v>
      </c>
    </row>
    <row r="164" spans="1:5" ht="43.5" hidden="1" outlineLevel="5" x14ac:dyDescent="0.35">
      <c r="A164" s="758" t="s">
        <v>941</v>
      </c>
      <c r="B164" s="755">
        <v>6</v>
      </c>
      <c r="C164" s="756" t="s">
        <v>942</v>
      </c>
      <c r="D164" s="756"/>
      <c r="E164" s="757" t="s">
        <v>943</v>
      </c>
    </row>
    <row r="165" spans="1:5" ht="29" hidden="1" outlineLevel="5" x14ac:dyDescent="0.35">
      <c r="A165" s="758" t="s">
        <v>944</v>
      </c>
      <c r="B165" s="755">
        <v>6</v>
      </c>
      <c r="C165" s="756" t="s">
        <v>877</v>
      </c>
      <c r="D165" s="756"/>
      <c r="E165" s="757" t="s">
        <v>945</v>
      </c>
    </row>
    <row r="166" spans="1:5" ht="29" hidden="1" outlineLevel="3" x14ac:dyDescent="0.35">
      <c r="A166" s="725" t="s">
        <v>946</v>
      </c>
      <c r="B166" s="749">
        <v>4</v>
      </c>
      <c r="C166" s="750" t="s">
        <v>947</v>
      </c>
      <c r="D166" s="750"/>
      <c r="E166" s="750" t="s">
        <v>948</v>
      </c>
    </row>
    <row r="167" spans="1:5" ht="29" hidden="1" outlineLevel="4" x14ac:dyDescent="0.35">
      <c r="A167" s="758" t="s">
        <v>949</v>
      </c>
      <c r="B167" s="755">
        <v>5</v>
      </c>
      <c r="C167" s="753" t="s">
        <v>950</v>
      </c>
      <c r="D167" s="753"/>
      <c r="E167" s="753" t="s">
        <v>951</v>
      </c>
    </row>
    <row r="168" spans="1:5" ht="29" hidden="1" outlineLevel="4" x14ac:dyDescent="0.35">
      <c r="A168" s="758" t="s">
        <v>952</v>
      </c>
      <c r="B168" s="755">
        <v>5</v>
      </c>
      <c r="C168" s="753" t="s">
        <v>953</v>
      </c>
      <c r="D168" s="753"/>
      <c r="E168" s="753" t="s">
        <v>954</v>
      </c>
    </row>
    <row r="169" spans="1:5" ht="29" hidden="1" outlineLevel="5" x14ac:dyDescent="0.35">
      <c r="A169" s="758" t="s">
        <v>955</v>
      </c>
      <c r="B169" s="755">
        <v>6</v>
      </c>
      <c r="C169" s="756" t="s">
        <v>956</v>
      </c>
      <c r="D169" s="756"/>
      <c r="E169" s="757" t="s">
        <v>957</v>
      </c>
    </row>
    <row r="170" spans="1:5" ht="29" hidden="1" outlineLevel="5" x14ac:dyDescent="0.35">
      <c r="A170" s="758" t="s">
        <v>958</v>
      </c>
      <c r="B170" s="755">
        <v>6</v>
      </c>
      <c r="C170" s="756" t="s">
        <v>959</v>
      </c>
      <c r="D170" s="756"/>
      <c r="E170" s="757" t="s">
        <v>960</v>
      </c>
    </row>
    <row r="171" spans="1:5" ht="29" hidden="1" outlineLevel="4" x14ac:dyDescent="0.35">
      <c r="A171" s="758" t="s">
        <v>961</v>
      </c>
      <c r="B171" s="755">
        <v>5</v>
      </c>
      <c r="C171" s="753" t="s">
        <v>962</v>
      </c>
      <c r="D171" s="753"/>
      <c r="E171" s="753" t="s">
        <v>963</v>
      </c>
    </row>
    <row r="172" spans="1:5" hidden="1" outlineLevel="5" x14ac:dyDescent="0.35">
      <c r="A172" s="758" t="s">
        <v>964</v>
      </c>
      <c r="B172" s="755">
        <v>6</v>
      </c>
      <c r="C172" s="756" t="s">
        <v>965</v>
      </c>
      <c r="D172" s="756"/>
      <c r="E172" s="757" t="s">
        <v>966</v>
      </c>
    </row>
    <row r="173" spans="1:5" hidden="1" outlineLevel="5" x14ac:dyDescent="0.35">
      <c r="A173" s="758" t="s">
        <v>967</v>
      </c>
      <c r="B173" s="755">
        <v>6</v>
      </c>
      <c r="C173" s="756" t="s">
        <v>968</v>
      </c>
      <c r="D173" s="756"/>
      <c r="E173" s="757" t="s">
        <v>969</v>
      </c>
    </row>
    <row r="174" spans="1:5" ht="29" hidden="1" outlineLevel="5" x14ac:dyDescent="0.35">
      <c r="A174" s="758" t="s">
        <v>970</v>
      </c>
      <c r="B174" s="755">
        <v>6</v>
      </c>
      <c r="C174" s="756" t="s">
        <v>971</v>
      </c>
      <c r="D174" s="756"/>
      <c r="E174" s="757" t="s">
        <v>972</v>
      </c>
    </row>
    <row r="175" spans="1:5" ht="29" hidden="1" outlineLevel="4" x14ac:dyDescent="0.35">
      <c r="A175" s="758" t="s">
        <v>973</v>
      </c>
      <c r="B175" s="755">
        <v>5</v>
      </c>
      <c r="C175" s="753" t="s">
        <v>974</v>
      </c>
      <c r="D175" s="753"/>
      <c r="E175" s="753" t="s">
        <v>975</v>
      </c>
    </row>
    <row r="176" spans="1:5" ht="29" hidden="1" outlineLevel="5" x14ac:dyDescent="0.35">
      <c r="A176" s="758" t="s">
        <v>976</v>
      </c>
      <c r="B176" s="755">
        <v>6</v>
      </c>
      <c r="C176" s="756" t="s">
        <v>977</v>
      </c>
      <c r="D176" s="756"/>
      <c r="E176" s="757" t="s">
        <v>978</v>
      </c>
    </row>
    <row r="177" spans="1:5" ht="58" hidden="1" outlineLevel="5" x14ac:dyDescent="0.35">
      <c r="A177" s="758" t="s">
        <v>979</v>
      </c>
      <c r="B177" s="755">
        <v>6</v>
      </c>
      <c r="C177" s="756" t="s">
        <v>980</v>
      </c>
      <c r="D177" s="756"/>
      <c r="E177" s="757" t="s">
        <v>981</v>
      </c>
    </row>
    <row r="178" spans="1:5" ht="29" hidden="1" outlineLevel="5" x14ac:dyDescent="0.35">
      <c r="A178" s="758" t="s">
        <v>982</v>
      </c>
      <c r="B178" s="755">
        <v>6</v>
      </c>
      <c r="C178" s="756" t="s">
        <v>983</v>
      </c>
      <c r="D178" s="756"/>
      <c r="E178" s="757" t="s">
        <v>984</v>
      </c>
    </row>
    <row r="179" spans="1:5" ht="43.5" hidden="1" outlineLevel="4" x14ac:dyDescent="0.35">
      <c r="A179" s="758" t="s">
        <v>985</v>
      </c>
      <c r="B179" s="755">
        <v>5</v>
      </c>
      <c r="C179" s="753" t="s">
        <v>986</v>
      </c>
      <c r="D179" s="753"/>
      <c r="E179" s="753" t="s">
        <v>987</v>
      </c>
    </row>
    <row r="180" spans="1:5" ht="29" hidden="1" outlineLevel="5" x14ac:dyDescent="0.35">
      <c r="A180" s="758" t="s">
        <v>988</v>
      </c>
      <c r="B180" s="755">
        <v>6</v>
      </c>
      <c r="C180" s="756" t="s">
        <v>989</v>
      </c>
      <c r="D180" s="756"/>
      <c r="E180" s="757" t="s">
        <v>990</v>
      </c>
    </row>
    <row r="181" spans="1:5" ht="29" hidden="1" outlineLevel="5" x14ac:dyDescent="0.35">
      <c r="A181" s="754" t="s">
        <v>991</v>
      </c>
      <c r="B181" s="755">
        <v>6</v>
      </c>
      <c r="C181" s="756" t="s">
        <v>992</v>
      </c>
      <c r="D181" s="756"/>
      <c r="E181" s="757" t="s">
        <v>993</v>
      </c>
    </row>
    <row r="182" spans="1:5" ht="58" hidden="1" outlineLevel="5" x14ac:dyDescent="0.35">
      <c r="A182" s="758" t="s">
        <v>994</v>
      </c>
      <c r="B182" s="755">
        <v>6</v>
      </c>
      <c r="C182" s="756" t="s">
        <v>995</v>
      </c>
      <c r="D182" s="756"/>
      <c r="E182" s="757" t="s">
        <v>996</v>
      </c>
    </row>
    <row r="183" spans="1:5" ht="43.5" hidden="1" outlineLevel="5" x14ac:dyDescent="0.35">
      <c r="A183" s="758" t="s">
        <v>997</v>
      </c>
      <c r="B183" s="755">
        <v>6</v>
      </c>
      <c r="C183" s="756" t="s">
        <v>998</v>
      </c>
      <c r="D183" s="756"/>
      <c r="E183" s="757" t="s">
        <v>999</v>
      </c>
    </row>
    <row r="184" spans="1:5" ht="43.5" hidden="1" outlineLevel="4" x14ac:dyDescent="0.35">
      <c r="A184" s="758" t="s">
        <v>1000</v>
      </c>
      <c r="B184" s="755">
        <v>5</v>
      </c>
      <c r="C184" s="753" t="s">
        <v>1001</v>
      </c>
      <c r="D184" s="753"/>
      <c r="E184" s="753" t="s">
        <v>1002</v>
      </c>
    </row>
    <row r="185" spans="1:5" ht="29" outlineLevel="2" x14ac:dyDescent="0.35">
      <c r="A185" s="725" t="s">
        <v>15</v>
      </c>
      <c r="B185" s="749">
        <v>3</v>
      </c>
      <c r="C185" s="750" t="s">
        <v>1003</v>
      </c>
      <c r="D185" s="762">
        <v>0</v>
      </c>
      <c r="E185" s="750" t="s">
        <v>1004</v>
      </c>
    </row>
    <row r="186" spans="1:5" ht="43.5" outlineLevel="2" collapsed="1" x14ac:dyDescent="0.35">
      <c r="A186" s="725" t="s">
        <v>16</v>
      </c>
      <c r="B186" s="749">
        <v>3</v>
      </c>
      <c r="C186" s="750" t="s">
        <v>1005</v>
      </c>
      <c r="D186" s="762">
        <v>0</v>
      </c>
      <c r="E186" s="750" t="s">
        <v>1006</v>
      </c>
    </row>
    <row r="187" spans="1:5" ht="29" hidden="1" outlineLevel="3" x14ac:dyDescent="0.35">
      <c r="A187" s="725" t="s">
        <v>1007</v>
      </c>
      <c r="B187" s="749">
        <v>4</v>
      </c>
      <c r="C187" s="750" t="s">
        <v>1008</v>
      </c>
      <c r="D187" s="750"/>
      <c r="E187" s="750" t="s">
        <v>1009</v>
      </c>
    </row>
    <row r="188" spans="1:5" ht="29" hidden="1" outlineLevel="4" x14ac:dyDescent="0.35">
      <c r="A188" s="763" t="s">
        <v>1010</v>
      </c>
      <c r="B188" s="755">
        <v>5</v>
      </c>
      <c r="C188" s="753" t="s">
        <v>1011</v>
      </c>
      <c r="D188" s="753"/>
      <c r="E188" s="753" t="s">
        <v>1012</v>
      </c>
    </row>
    <row r="189" spans="1:5" ht="29" hidden="1" outlineLevel="4" x14ac:dyDescent="0.35">
      <c r="A189" s="763" t="s">
        <v>1013</v>
      </c>
      <c r="B189" s="755">
        <v>5</v>
      </c>
      <c r="C189" s="753" t="s">
        <v>1014</v>
      </c>
      <c r="D189" s="753"/>
      <c r="E189" s="753" t="s">
        <v>1015</v>
      </c>
    </row>
    <row r="190" spans="1:5" ht="29" hidden="1" outlineLevel="4" x14ac:dyDescent="0.35">
      <c r="A190" s="763" t="s">
        <v>1016</v>
      </c>
      <c r="B190" s="755">
        <v>5</v>
      </c>
      <c r="C190" s="753" t="s">
        <v>1017</v>
      </c>
      <c r="D190" s="753"/>
      <c r="E190" s="753" t="s">
        <v>1018</v>
      </c>
    </row>
    <row r="191" spans="1:5" ht="29" hidden="1" outlineLevel="4" x14ac:dyDescent="0.35">
      <c r="A191" s="763" t="s">
        <v>1019</v>
      </c>
      <c r="B191" s="755">
        <v>5</v>
      </c>
      <c r="C191" s="753" t="s">
        <v>1020</v>
      </c>
      <c r="D191" s="753"/>
      <c r="E191" s="753" t="s">
        <v>1021</v>
      </c>
    </row>
    <row r="192" spans="1:5" ht="58" hidden="1" outlineLevel="3" x14ac:dyDescent="0.35">
      <c r="A192" s="725" t="s">
        <v>1022</v>
      </c>
      <c r="B192" s="749">
        <v>4</v>
      </c>
      <c r="C192" s="750" t="s">
        <v>1023</v>
      </c>
      <c r="D192" s="750"/>
      <c r="E192" s="750" t="s">
        <v>1024</v>
      </c>
    </row>
    <row r="193" spans="1:5" ht="29" hidden="1" outlineLevel="3" x14ac:dyDescent="0.35">
      <c r="A193" s="725" t="s">
        <v>1025</v>
      </c>
      <c r="B193" s="749">
        <v>4</v>
      </c>
      <c r="C193" s="750" t="s">
        <v>1026</v>
      </c>
      <c r="D193" s="750"/>
      <c r="E193" s="750" t="s">
        <v>1027</v>
      </c>
    </row>
    <row r="194" spans="1:5" hidden="1" outlineLevel="3" x14ac:dyDescent="0.35">
      <c r="A194" s="725" t="s">
        <v>1028</v>
      </c>
      <c r="B194" s="749">
        <v>4</v>
      </c>
      <c r="C194" s="750" t="s">
        <v>1029</v>
      </c>
      <c r="D194" s="750"/>
      <c r="E194" s="750" t="s">
        <v>1030</v>
      </c>
    </row>
    <row r="195" spans="1:5" ht="43.5" hidden="1" outlineLevel="4" x14ac:dyDescent="0.35">
      <c r="A195" s="758" t="s">
        <v>1031</v>
      </c>
      <c r="B195" s="755">
        <v>5</v>
      </c>
      <c r="C195" s="753" t="s">
        <v>1032</v>
      </c>
      <c r="D195" s="753"/>
      <c r="E195" s="753" t="s">
        <v>1033</v>
      </c>
    </row>
    <row r="196" spans="1:5" ht="29" hidden="1" outlineLevel="4" x14ac:dyDescent="0.35">
      <c r="A196" s="456" t="s">
        <v>1034</v>
      </c>
      <c r="B196" s="755">
        <v>5</v>
      </c>
      <c r="C196" s="753" t="s">
        <v>1035</v>
      </c>
      <c r="D196" s="753"/>
      <c r="E196" s="753" t="s">
        <v>1036</v>
      </c>
    </row>
    <row r="197" spans="1:5" ht="43.5" hidden="1" outlineLevel="4" x14ac:dyDescent="0.35">
      <c r="A197" s="758" t="s">
        <v>1037</v>
      </c>
      <c r="B197" s="755">
        <v>5</v>
      </c>
      <c r="C197" s="753" t="s">
        <v>1038</v>
      </c>
      <c r="D197" s="753"/>
      <c r="E197" s="753" t="s">
        <v>1039</v>
      </c>
    </row>
    <row r="198" spans="1:5" ht="72.5" outlineLevel="2" collapsed="1" x14ac:dyDescent="0.35">
      <c r="A198" s="725" t="s">
        <v>1040</v>
      </c>
      <c r="B198" s="749">
        <v>3</v>
      </c>
      <c r="C198" s="750" t="s">
        <v>1041</v>
      </c>
      <c r="D198" s="751">
        <f>'CBS ($ per kW)'!P46</f>
        <v>1582.8340558902275</v>
      </c>
      <c r="E198" s="750" t="s">
        <v>1042</v>
      </c>
    </row>
    <row r="199" spans="1:5" ht="29" hidden="1" outlineLevel="3" x14ac:dyDescent="0.35">
      <c r="A199" s="725" t="s">
        <v>1043</v>
      </c>
      <c r="B199" s="749">
        <v>4</v>
      </c>
      <c r="C199" s="750" t="s">
        <v>1044</v>
      </c>
      <c r="D199" s="750"/>
      <c r="E199" s="750" t="s">
        <v>1045</v>
      </c>
    </row>
    <row r="200" spans="1:5" ht="29" hidden="1" outlineLevel="4" x14ac:dyDescent="0.35">
      <c r="A200" s="758" t="s">
        <v>1046</v>
      </c>
      <c r="B200" s="755">
        <v>5</v>
      </c>
      <c r="C200" s="753" t="s">
        <v>1047</v>
      </c>
      <c r="D200" s="753"/>
      <c r="E200" s="753" t="s">
        <v>1048</v>
      </c>
    </row>
    <row r="201" spans="1:5" ht="29" hidden="1" outlineLevel="4" x14ac:dyDescent="0.35">
      <c r="A201" s="758" t="s">
        <v>1049</v>
      </c>
      <c r="B201" s="755">
        <v>5</v>
      </c>
      <c r="C201" s="753" t="s">
        <v>1050</v>
      </c>
      <c r="D201" s="753"/>
      <c r="E201" s="753" t="s">
        <v>1051</v>
      </c>
    </row>
    <row r="202" spans="1:5" ht="29" hidden="1" outlineLevel="4" x14ac:dyDescent="0.35">
      <c r="A202" s="758" t="s">
        <v>1052</v>
      </c>
      <c r="B202" s="755">
        <v>5</v>
      </c>
      <c r="C202" s="753" t="s">
        <v>1053</v>
      </c>
      <c r="D202" s="753"/>
      <c r="E202" s="753" t="s">
        <v>1054</v>
      </c>
    </row>
    <row r="203" spans="1:5" ht="43.5" hidden="1" outlineLevel="3" x14ac:dyDescent="0.35">
      <c r="A203" s="725" t="s">
        <v>1055</v>
      </c>
      <c r="B203" s="749">
        <v>4</v>
      </c>
      <c r="C203" s="750" t="s">
        <v>1056</v>
      </c>
      <c r="D203" s="750"/>
      <c r="E203" s="750" t="s">
        <v>1057</v>
      </c>
    </row>
    <row r="204" spans="1:5" ht="43.5" hidden="1" outlineLevel="4" x14ac:dyDescent="0.35">
      <c r="A204" s="758" t="s">
        <v>1058</v>
      </c>
      <c r="B204" s="755">
        <v>5</v>
      </c>
      <c r="C204" s="753" t="s">
        <v>1059</v>
      </c>
      <c r="D204" s="753"/>
      <c r="E204" s="753" t="s">
        <v>1060</v>
      </c>
    </row>
    <row r="205" spans="1:5" ht="72.5" hidden="1" outlineLevel="4" x14ac:dyDescent="0.35">
      <c r="A205" s="758" t="s">
        <v>1061</v>
      </c>
      <c r="B205" s="755">
        <v>5</v>
      </c>
      <c r="C205" s="753" t="s">
        <v>1062</v>
      </c>
      <c r="D205" s="753"/>
      <c r="E205" s="753" t="s">
        <v>1063</v>
      </c>
    </row>
    <row r="206" spans="1:5" ht="29" hidden="1" outlineLevel="3" x14ac:dyDescent="0.35">
      <c r="A206" s="725" t="s">
        <v>1064</v>
      </c>
      <c r="B206" s="749">
        <v>4</v>
      </c>
      <c r="C206" s="750" t="s">
        <v>1065</v>
      </c>
      <c r="D206" s="750"/>
      <c r="E206" s="750" t="s">
        <v>1066</v>
      </c>
    </row>
    <row r="207" spans="1:5" hidden="1" outlineLevel="4" x14ac:dyDescent="0.35">
      <c r="A207" s="764" t="s">
        <v>1067</v>
      </c>
      <c r="B207" s="755">
        <v>5</v>
      </c>
      <c r="C207" s="753" t="s">
        <v>784</v>
      </c>
      <c r="D207" s="753"/>
      <c r="E207" s="753" t="s">
        <v>1068</v>
      </c>
    </row>
    <row r="208" spans="1:5" hidden="1" outlineLevel="5" x14ac:dyDescent="0.35">
      <c r="A208" s="765" t="s">
        <v>1069</v>
      </c>
      <c r="B208" s="755">
        <v>6</v>
      </c>
      <c r="C208" s="756" t="s">
        <v>1070</v>
      </c>
      <c r="D208" s="756"/>
      <c r="E208" s="753" t="s">
        <v>1071</v>
      </c>
    </row>
    <row r="209" spans="1:5" hidden="1" outlineLevel="5" x14ac:dyDescent="0.35">
      <c r="A209" s="765" t="s">
        <v>1072</v>
      </c>
      <c r="B209" s="755">
        <v>6</v>
      </c>
      <c r="C209" s="756" t="s">
        <v>1073</v>
      </c>
      <c r="D209" s="756"/>
      <c r="E209" s="753" t="s">
        <v>1074</v>
      </c>
    </row>
    <row r="210" spans="1:5" hidden="1" outlineLevel="5" x14ac:dyDescent="0.35">
      <c r="A210" s="765" t="s">
        <v>1075</v>
      </c>
      <c r="B210" s="755">
        <v>6</v>
      </c>
      <c r="C210" s="756" t="s">
        <v>1076</v>
      </c>
      <c r="D210" s="756"/>
      <c r="E210" s="753" t="s">
        <v>1077</v>
      </c>
    </row>
    <row r="211" spans="1:5" ht="29" hidden="1" outlineLevel="5" x14ac:dyDescent="0.35">
      <c r="A211" s="765" t="s">
        <v>1078</v>
      </c>
      <c r="B211" s="755">
        <v>6</v>
      </c>
      <c r="C211" s="756" t="s">
        <v>1079</v>
      </c>
      <c r="D211" s="756"/>
      <c r="E211" s="753" t="s">
        <v>1080</v>
      </c>
    </row>
    <row r="212" spans="1:5" hidden="1" outlineLevel="4" x14ac:dyDescent="0.35">
      <c r="A212" s="765" t="s">
        <v>1081</v>
      </c>
      <c r="B212" s="755">
        <v>5</v>
      </c>
      <c r="C212" s="753" t="s">
        <v>1082</v>
      </c>
      <c r="D212" s="753"/>
      <c r="E212" s="753" t="s">
        <v>1083</v>
      </c>
    </row>
    <row r="213" spans="1:5" ht="29" hidden="1" outlineLevel="5" x14ac:dyDescent="0.35">
      <c r="A213" s="765" t="s">
        <v>1084</v>
      </c>
      <c r="B213" s="755">
        <v>6</v>
      </c>
      <c r="C213" s="756" t="s">
        <v>1085</v>
      </c>
      <c r="D213" s="756"/>
      <c r="E213" s="753" t="s">
        <v>1086</v>
      </c>
    </row>
    <row r="214" spans="1:5" hidden="1" outlineLevel="5" x14ac:dyDescent="0.35">
      <c r="A214" s="765" t="s">
        <v>1087</v>
      </c>
      <c r="B214" s="755">
        <v>6</v>
      </c>
      <c r="C214" s="756" t="s">
        <v>1076</v>
      </c>
      <c r="D214" s="756"/>
      <c r="E214" s="753" t="s">
        <v>1088</v>
      </c>
    </row>
    <row r="215" spans="1:5" ht="29" hidden="1" outlineLevel="5" x14ac:dyDescent="0.35">
      <c r="A215" s="765" t="s">
        <v>1089</v>
      </c>
      <c r="B215" s="755">
        <v>6</v>
      </c>
      <c r="C215" s="756" t="s">
        <v>1079</v>
      </c>
      <c r="D215" s="756"/>
      <c r="E215" s="753" t="s">
        <v>1090</v>
      </c>
    </row>
    <row r="216" spans="1:5" ht="29" hidden="1" outlineLevel="5" x14ac:dyDescent="0.35">
      <c r="A216" s="765" t="s">
        <v>1091</v>
      </c>
      <c r="B216" s="755">
        <v>6</v>
      </c>
      <c r="C216" s="756" t="s">
        <v>1092</v>
      </c>
      <c r="D216" s="756"/>
      <c r="E216" s="753" t="s">
        <v>1093</v>
      </c>
    </row>
    <row r="217" spans="1:5" hidden="1" outlineLevel="4" x14ac:dyDescent="0.35">
      <c r="A217" s="765" t="s">
        <v>1094</v>
      </c>
      <c r="B217" s="755">
        <v>5</v>
      </c>
      <c r="C217" s="753" t="s">
        <v>1095</v>
      </c>
      <c r="D217" s="753"/>
      <c r="E217" s="753" t="s">
        <v>1096</v>
      </c>
    </row>
    <row r="218" spans="1:5" ht="29" hidden="1" outlineLevel="5" x14ac:dyDescent="0.35">
      <c r="A218" s="765" t="s">
        <v>1097</v>
      </c>
      <c r="B218" s="755">
        <v>6</v>
      </c>
      <c r="C218" s="756" t="s">
        <v>1098</v>
      </c>
      <c r="D218" s="756"/>
      <c r="E218" s="753" t="s">
        <v>1099</v>
      </c>
    </row>
    <row r="219" spans="1:5" ht="29" hidden="1" outlineLevel="5" x14ac:dyDescent="0.35">
      <c r="A219" s="758" t="s">
        <v>1100</v>
      </c>
      <c r="B219" s="755">
        <v>6</v>
      </c>
      <c r="C219" s="756" t="s">
        <v>1101</v>
      </c>
      <c r="D219" s="756"/>
      <c r="E219" s="753" t="s">
        <v>1102</v>
      </c>
    </row>
    <row r="220" spans="1:5" ht="29" hidden="1" outlineLevel="4" x14ac:dyDescent="0.35">
      <c r="A220" s="758" t="s">
        <v>1103</v>
      </c>
      <c r="B220" s="755">
        <v>5</v>
      </c>
      <c r="C220" s="753" t="s">
        <v>1104</v>
      </c>
      <c r="D220" s="753"/>
      <c r="E220" s="753" t="s">
        <v>1105</v>
      </c>
    </row>
    <row r="221" spans="1:5" ht="29" hidden="1" outlineLevel="5" x14ac:dyDescent="0.35">
      <c r="A221" s="758" t="s">
        <v>1106</v>
      </c>
      <c r="B221" s="755">
        <v>6</v>
      </c>
      <c r="C221" s="756" t="s">
        <v>1098</v>
      </c>
      <c r="D221" s="756"/>
      <c r="E221" s="753" t="s">
        <v>1107</v>
      </c>
    </row>
    <row r="222" spans="1:5" ht="29" hidden="1" outlineLevel="5" x14ac:dyDescent="0.35">
      <c r="A222" s="758" t="s">
        <v>1108</v>
      </c>
      <c r="B222" s="755">
        <v>6</v>
      </c>
      <c r="C222" s="756" t="s">
        <v>1101</v>
      </c>
      <c r="D222" s="756"/>
      <c r="E222" s="753" t="s">
        <v>1109</v>
      </c>
    </row>
    <row r="223" spans="1:5" ht="29" hidden="1" outlineLevel="4" x14ac:dyDescent="0.35">
      <c r="A223" s="758" t="s">
        <v>1110</v>
      </c>
      <c r="B223" s="755">
        <v>5</v>
      </c>
      <c r="C223" s="753" t="s">
        <v>1111</v>
      </c>
      <c r="D223" s="753"/>
      <c r="E223" s="753" t="s">
        <v>1112</v>
      </c>
    </row>
    <row r="224" spans="1:5" ht="29" hidden="1" outlineLevel="5" x14ac:dyDescent="0.35">
      <c r="A224" s="758" t="s">
        <v>1113</v>
      </c>
      <c r="B224" s="755">
        <v>6</v>
      </c>
      <c r="C224" s="756" t="s">
        <v>1114</v>
      </c>
      <c r="D224" s="756"/>
      <c r="E224" s="753" t="s">
        <v>1115</v>
      </c>
    </row>
    <row r="225" spans="1:5" ht="29" hidden="1" outlineLevel="5" x14ac:dyDescent="0.35">
      <c r="A225" s="758" t="s">
        <v>1116</v>
      </c>
      <c r="B225" s="755">
        <v>6</v>
      </c>
      <c r="C225" s="756" t="s">
        <v>1117</v>
      </c>
      <c r="D225" s="756"/>
      <c r="E225" s="753" t="s">
        <v>1118</v>
      </c>
    </row>
    <row r="226" spans="1:5" hidden="1" outlineLevel="5" x14ac:dyDescent="0.35">
      <c r="A226" s="758" t="s">
        <v>1119</v>
      </c>
      <c r="B226" s="755">
        <v>6</v>
      </c>
      <c r="C226" s="756" t="s">
        <v>1120</v>
      </c>
      <c r="D226" s="756"/>
      <c r="E226" s="753" t="s">
        <v>1121</v>
      </c>
    </row>
    <row r="227" spans="1:5" ht="29" outlineLevel="2" collapsed="1" x14ac:dyDescent="0.35">
      <c r="A227" s="725" t="s">
        <v>1122</v>
      </c>
      <c r="B227" s="749">
        <v>3</v>
      </c>
      <c r="C227" s="750" t="s">
        <v>1123</v>
      </c>
      <c r="D227" s="751">
        <f>'CBS ($ per kW)'!P18</f>
        <v>233.13253012048193</v>
      </c>
      <c r="E227" s="750" t="s">
        <v>1124</v>
      </c>
    </row>
    <row r="228" spans="1:5" ht="29" hidden="1" outlineLevel="3" x14ac:dyDescent="0.35">
      <c r="A228" s="725" t="s">
        <v>1125</v>
      </c>
      <c r="B228" s="749">
        <v>4</v>
      </c>
      <c r="C228" s="750" t="s">
        <v>1126</v>
      </c>
      <c r="D228" s="750"/>
      <c r="E228" s="750" t="s">
        <v>1127</v>
      </c>
    </row>
    <row r="229" spans="1:5" ht="29" hidden="1" outlineLevel="3" x14ac:dyDescent="0.35">
      <c r="A229" s="725" t="s">
        <v>1128</v>
      </c>
      <c r="B229" s="749">
        <v>4</v>
      </c>
      <c r="C229" s="750" t="s">
        <v>1129</v>
      </c>
      <c r="D229" s="750"/>
      <c r="E229" s="750" t="s">
        <v>1130</v>
      </c>
    </row>
    <row r="230" spans="1:5" ht="29" hidden="1" outlineLevel="3" x14ac:dyDescent="0.35">
      <c r="A230" s="725" t="s">
        <v>1131</v>
      </c>
      <c r="B230" s="749">
        <v>4</v>
      </c>
      <c r="C230" s="750" t="s">
        <v>1132</v>
      </c>
      <c r="D230" s="750"/>
      <c r="E230" s="750" t="s">
        <v>1133</v>
      </c>
    </row>
    <row r="231" spans="1:5" ht="87" hidden="1" outlineLevel="3" x14ac:dyDescent="0.35">
      <c r="A231" s="725" t="s">
        <v>1134</v>
      </c>
      <c r="B231" s="749">
        <v>4</v>
      </c>
      <c r="C231" s="750" t="s">
        <v>1135</v>
      </c>
      <c r="D231" s="750"/>
      <c r="E231" s="750" t="s">
        <v>1136</v>
      </c>
    </row>
    <row r="232" spans="1:5" ht="29" hidden="1" outlineLevel="3" x14ac:dyDescent="0.35">
      <c r="A232" s="725" t="s">
        <v>1137</v>
      </c>
      <c r="B232" s="749">
        <v>4</v>
      </c>
      <c r="C232" s="750" t="s">
        <v>1138</v>
      </c>
      <c r="D232" s="750"/>
      <c r="E232" s="750" t="s">
        <v>1139</v>
      </c>
    </row>
    <row r="233" spans="1:5" ht="29" outlineLevel="2" collapsed="1" x14ac:dyDescent="0.35">
      <c r="A233" s="725" t="s">
        <v>1140</v>
      </c>
      <c r="B233" s="749">
        <v>3</v>
      </c>
      <c r="C233" s="750" t="s">
        <v>1141</v>
      </c>
      <c r="D233" s="751">
        <f>'CBS ($ per kW)'!P20</f>
        <v>168.74671324193497</v>
      </c>
      <c r="E233" s="750" t="s">
        <v>1142</v>
      </c>
    </row>
    <row r="234" spans="1:5" ht="29" hidden="1" outlineLevel="3" x14ac:dyDescent="0.35">
      <c r="A234" s="725" t="s">
        <v>1143</v>
      </c>
      <c r="B234" s="749">
        <v>4</v>
      </c>
      <c r="C234" s="750" t="s">
        <v>1144</v>
      </c>
      <c r="D234" s="750"/>
      <c r="E234" s="750" t="s">
        <v>1145</v>
      </c>
    </row>
    <row r="235" spans="1:5" hidden="1" outlineLevel="4" x14ac:dyDescent="0.35">
      <c r="A235" s="725" t="s">
        <v>1146</v>
      </c>
      <c r="B235" s="755">
        <v>5</v>
      </c>
      <c r="C235" s="753" t="s">
        <v>1147</v>
      </c>
      <c r="D235" s="753"/>
      <c r="E235" s="753" t="s">
        <v>1148</v>
      </c>
    </row>
    <row r="236" spans="1:5" ht="29" hidden="1" outlineLevel="4" x14ac:dyDescent="0.35">
      <c r="A236" s="725" t="s">
        <v>1149</v>
      </c>
      <c r="B236" s="755">
        <v>5</v>
      </c>
      <c r="C236" s="753" t="s">
        <v>1150</v>
      </c>
      <c r="D236" s="753"/>
      <c r="E236" s="753" t="s">
        <v>1151</v>
      </c>
    </row>
    <row r="237" spans="1:5" ht="29" hidden="1" outlineLevel="4" x14ac:dyDescent="0.35">
      <c r="A237" s="725" t="s">
        <v>1152</v>
      </c>
      <c r="B237" s="755">
        <v>5</v>
      </c>
      <c r="C237" s="753" t="s">
        <v>1153</v>
      </c>
      <c r="D237" s="753"/>
      <c r="E237" s="753" t="s">
        <v>1154</v>
      </c>
    </row>
    <row r="238" spans="1:5" ht="29" hidden="1" outlineLevel="4" x14ac:dyDescent="0.35">
      <c r="A238" s="725" t="s">
        <v>1155</v>
      </c>
      <c r="B238" s="755">
        <v>5</v>
      </c>
      <c r="C238" s="753" t="s">
        <v>1156</v>
      </c>
      <c r="D238" s="753"/>
      <c r="E238" s="753" t="s">
        <v>1157</v>
      </c>
    </row>
    <row r="239" spans="1:5" hidden="1" outlineLevel="3" x14ac:dyDescent="0.35">
      <c r="A239" s="725" t="s">
        <v>1158</v>
      </c>
      <c r="B239" s="749">
        <v>4</v>
      </c>
      <c r="C239" s="750" t="s">
        <v>1159</v>
      </c>
      <c r="D239" s="750"/>
      <c r="E239" s="750" t="s">
        <v>1160</v>
      </c>
    </row>
    <row r="240" spans="1:5" ht="29" hidden="1" outlineLevel="4" x14ac:dyDescent="0.35">
      <c r="A240" s="725" t="s">
        <v>1161</v>
      </c>
      <c r="B240" s="755">
        <v>5</v>
      </c>
      <c r="C240" s="753" t="s">
        <v>1162</v>
      </c>
      <c r="D240" s="753"/>
      <c r="E240" s="753" t="s">
        <v>1163</v>
      </c>
    </row>
    <row r="241" spans="1:5" ht="29" hidden="1" outlineLevel="4" x14ac:dyDescent="0.35">
      <c r="A241" s="725" t="s">
        <v>1164</v>
      </c>
      <c r="B241" s="755">
        <v>5</v>
      </c>
      <c r="C241" s="753" t="s">
        <v>1165</v>
      </c>
      <c r="D241" s="753"/>
      <c r="E241" s="753" t="s">
        <v>1166</v>
      </c>
    </row>
    <row r="242" spans="1:5" ht="29" hidden="1" outlineLevel="4" x14ac:dyDescent="0.35">
      <c r="A242" s="725" t="s">
        <v>1167</v>
      </c>
      <c r="B242" s="755">
        <v>5</v>
      </c>
      <c r="C242" s="753" t="s">
        <v>1168</v>
      </c>
      <c r="D242" s="753"/>
      <c r="E242" s="753" t="s">
        <v>1169</v>
      </c>
    </row>
    <row r="243" spans="1:5" ht="29" hidden="1" outlineLevel="4" x14ac:dyDescent="0.35">
      <c r="A243" s="725" t="s">
        <v>1170</v>
      </c>
      <c r="B243" s="755">
        <v>5</v>
      </c>
      <c r="C243" s="753" t="s">
        <v>1171</v>
      </c>
      <c r="D243" s="753"/>
      <c r="E243" s="753" t="s">
        <v>1172</v>
      </c>
    </row>
    <row r="244" spans="1:5" ht="29" hidden="1" outlineLevel="4" x14ac:dyDescent="0.35">
      <c r="A244" s="725" t="s">
        <v>1173</v>
      </c>
      <c r="B244" s="755">
        <v>5</v>
      </c>
      <c r="C244" s="753" t="s">
        <v>1174</v>
      </c>
      <c r="D244" s="753"/>
      <c r="E244" s="753" t="s">
        <v>1175</v>
      </c>
    </row>
    <row r="245" spans="1:5" ht="29" hidden="1" outlineLevel="4" x14ac:dyDescent="0.35">
      <c r="A245" s="725" t="s">
        <v>1176</v>
      </c>
      <c r="B245" s="755">
        <v>5</v>
      </c>
      <c r="C245" s="753" t="s">
        <v>1177</v>
      </c>
      <c r="D245" s="753"/>
      <c r="E245" s="753" t="s">
        <v>1178</v>
      </c>
    </row>
    <row r="246" spans="1:5" ht="29" hidden="1" outlineLevel="3" x14ac:dyDescent="0.35">
      <c r="A246" s="725" t="s">
        <v>1179</v>
      </c>
      <c r="B246" s="749">
        <v>4</v>
      </c>
      <c r="C246" s="750" t="s">
        <v>1180</v>
      </c>
      <c r="D246" s="750"/>
      <c r="E246" s="750" t="s">
        <v>1181</v>
      </c>
    </row>
    <row r="247" spans="1:5" ht="29" hidden="1" outlineLevel="4" x14ac:dyDescent="0.35">
      <c r="A247" s="758" t="s">
        <v>1182</v>
      </c>
      <c r="B247" s="755">
        <v>5</v>
      </c>
      <c r="C247" s="753" t="s">
        <v>1183</v>
      </c>
      <c r="D247" s="753"/>
      <c r="E247" s="753" t="s">
        <v>1184</v>
      </c>
    </row>
    <row r="248" spans="1:5" hidden="1" outlineLevel="4" x14ac:dyDescent="0.35">
      <c r="A248" s="758" t="s">
        <v>1185</v>
      </c>
      <c r="B248" s="755">
        <v>5</v>
      </c>
      <c r="C248" s="753" t="s">
        <v>1186</v>
      </c>
      <c r="D248" s="753"/>
      <c r="E248" s="753" t="s">
        <v>1187</v>
      </c>
    </row>
    <row r="249" spans="1:5" hidden="1" outlineLevel="4" x14ac:dyDescent="0.35">
      <c r="A249" s="758" t="s">
        <v>1188</v>
      </c>
      <c r="B249" s="755">
        <v>5</v>
      </c>
      <c r="C249" s="753" t="s">
        <v>1189</v>
      </c>
      <c r="D249" s="753"/>
      <c r="E249" s="753" t="s">
        <v>1190</v>
      </c>
    </row>
    <row r="250" spans="1:5" ht="29" hidden="1" outlineLevel="4" x14ac:dyDescent="0.35">
      <c r="A250" s="758" t="s">
        <v>1191</v>
      </c>
      <c r="B250" s="755">
        <v>5</v>
      </c>
      <c r="C250" s="753" t="s">
        <v>1192</v>
      </c>
      <c r="D250" s="753"/>
      <c r="E250" s="753" t="s">
        <v>1193</v>
      </c>
    </row>
    <row r="251" spans="1:5" ht="29" hidden="1" outlineLevel="4" x14ac:dyDescent="0.35">
      <c r="A251" s="758" t="s">
        <v>1194</v>
      </c>
      <c r="B251" s="755">
        <v>5</v>
      </c>
      <c r="C251" s="753" t="s">
        <v>1156</v>
      </c>
      <c r="D251" s="753"/>
      <c r="E251" s="753" t="s">
        <v>1195</v>
      </c>
    </row>
    <row r="252" spans="1:5" hidden="1" outlineLevel="3" x14ac:dyDescent="0.35">
      <c r="A252" s="758" t="s">
        <v>1196</v>
      </c>
      <c r="B252" s="749">
        <v>4</v>
      </c>
      <c r="C252" s="750" t="s">
        <v>524</v>
      </c>
      <c r="D252" s="750"/>
      <c r="E252" s="750" t="s">
        <v>1197</v>
      </c>
    </row>
    <row r="253" spans="1:5" ht="29" hidden="1" outlineLevel="4" x14ac:dyDescent="0.35">
      <c r="A253" s="758" t="s">
        <v>1198</v>
      </c>
      <c r="B253" s="755">
        <v>5</v>
      </c>
      <c r="C253" s="753" t="s">
        <v>1199</v>
      </c>
      <c r="D253" s="753"/>
      <c r="E253" s="753" t="s">
        <v>1200</v>
      </c>
    </row>
    <row r="254" spans="1:5" ht="29" hidden="1" outlineLevel="4" x14ac:dyDescent="0.35">
      <c r="A254" s="758" t="s">
        <v>1201</v>
      </c>
      <c r="B254" s="755">
        <v>5</v>
      </c>
      <c r="C254" s="753" t="s">
        <v>1202</v>
      </c>
      <c r="D254" s="753"/>
      <c r="E254" s="753" t="s">
        <v>1203</v>
      </c>
    </row>
    <row r="255" spans="1:5" ht="29" hidden="1" outlineLevel="4" x14ac:dyDescent="0.35">
      <c r="A255" s="758" t="s">
        <v>1204</v>
      </c>
      <c r="B255" s="755">
        <v>5</v>
      </c>
      <c r="C255" s="753" t="s">
        <v>1205</v>
      </c>
      <c r="D255" s="753"/>
      <c r="E255" s="753" t="s">
        <v>531</v>
      </c>
    </row>
    <row r="256" spans="1:5" ht="29" hidden="1" outlineLevel="4" x14ac:dyDescent="0.35">
      <c r="A256" s="758" t="s">
        <v>1206</v>
      </c>
      <c r="B256" s="755">
        <v>5</v>
      </c>
      <c r="C256" s="753" t="s">
        <v>1207</v>
      </c>
      <c r="D256" s="753"/>
      <c r="E256" s="753" t="s">
        <v>1208</v>
      </c>
    </row>
    <row r="257" spans="1:7" ht="29" hidden="1" outlineLevel="3" x14ac:dyDescent="0.35">
      <c r="A257" s="758" t="s">
        <v>1209</v>
      </c>
      <c r="B257" s="749">
        <v>4</v>
      </c>
      <c r="C257" s="750" t="s">
        <v>1210</v>
      </c>
      <c r="D257" s="750"/>
      <c r="E257" s="750" t="s">
        <v>1211</v>
      </c>
    </row>
    <row r="258" spans="1:7" ht="58" hidden="1" outlineLevel="3" x14ac:dyDescent="0.35">
      <c r="A258" s="758" t="s">
        <v>1212</v>
      </c>
      <c r="B258" s="749">
        <v>4</v>
      </c>
      <c r="C258" s="750" t="s">
        <v>1213</v>
      </c>
      <c r="D258" s="750"/>
      <c r="E258" s="750" t="s">
        <v>1214</v>
      </c>
    </row>
    <row r="259" spans="1:7" ht="43.5" hidden="1" outlineLevel="3" x14ac:dyDescent="0.35">
      <c r="A259" s="758" t="s">
        <v>1215</v>
      </c>
      <c r="B259" s="749">
        <v>4</v>
      </c>
      <c r="C259" s="750" t="s">
        <v>1216</v>
      </c>
      <c r="D259" s="750"/>
      <c r="E259" s="750" t="s">
        <v>1217</v>
      </c>
    </row>
    <row r="260" spans="1:7" ht="58" outlineLevel="1" x14ac:dyDescent="0.35">
      <c r="A260" s="436">
        <v>1.3</v>
      </c>
      <c r="B260" s="749">
        <v>2</v>
      </c>
      <c r="C260" s="750" t="s">
        <v>1218</v>
      </c>
      <c r="D260" s="766">
        <f>SUM(D261:D264)</f>
        <v>469.89297611327169</v>
      </c>
      <c r="E260" s="750" t="s">
        <v>1219</v>
      </c>
    </row>
    <row r="261" spans="1:7" ht="58" outlineLevel="2" x14ac:dyDescent="0.35">
      <c r="A261" s="725" t="s">
        <v>19</v>
      </c>
      <c r="B261" s="749">
        <v>3</v>
      </c>
      <c r="C261" s="750" t="s">
        <v>1220</v>
      </c>
      <c r="D261" s="767">
        <f>'CBS ($ per kW)'!P54</f>
        <v>469.89297611327169</v>
      </c>
      <c r="E261" s="750" t="s">
        <v>1221</v>
      </c>
    </row>
    <row r="262" spans="1:7" ht="72.5" outlineLevel="2" x14ac:dyDescent="0.35">
      <c r="A262" s="725" t="s">
        <v>21</v>
      </c>
      <c r="B262" s="749">
        <v>3</v>
      </c>
      <c r="C262" s="750" t="s">
        <v>1222</v>
      </c>
      <c r="D262" s="762">
        <v>0</v>
      </c>
      <c r="E262" s="750" t="s">
        <v>1223</v>
      </c>
      <c r="F262" s="860" t="s">
        <v>1416</v>
      </c>
    </row>
    <row r="263" spans="1:7" ht="29" outlineLevel="2" x14ac:dyDescent="0.35">
      <c r="A263" s="725" t="s">
        <v>23</v>
      </c>
      <c r="B263" s="749">
        <v>3</v>
      </c>
      <c r="C263" s="750" t="s">
        <v>1224</v>
      </c>
      <c r="D263" s="762">
        <v>0</v>
      </c>
      <c r="E263" s="750" t="s">
        <v>1225</v>
      </c>
    </row>
    <row r="264" spans="1:7" ht="29" outlineLevel="2" collapsed="1" x14ac:dyDescent="0.35">
      <c r="A264" s="725" t="s">
        <v>24</v>
      </c>
      <c r="B264" s="749">
        <v>3</v>
      </c>
      <c r="C264" s="750" t="s">
        <v>1226</v>
      </c>
      <c r="D264" s="762">
        <v>0</v>
      </c>
      <c r="E264" s="750" t="s">
        <v>1227</v>
      </c>
    </row>
    <row r="265" spans="1:7" ht="43.5" hidden="1" outlineLevel="3" x14ac:dyDescent="0.35">
      <c r="A265" s="725" t="s">
        <v>1228</v>
      </c>
      <c r="B265" s="768">
        <v>4</v>
      </c>
      <c r="C265" s="769" t="s">
        <v>1229</v>
      </c>
      <c r="D265" s="769"/>
      <c r="E265" s="769" t="s">
        <v>1230</v>
      </c>
    </row>
    <row r="266" spans="1:7" ht="43.5" hidden="1" outlineLevel="3" x14ac:dyDescent="0.35">
      <c r="A266" s="725" t="s">
        <v>1231</v>
      </c>
      <c r="B266" s="768">
        <v>4</v>
      </c>
      <c r="C266" s="769" t="s">
        <v>1232</v>
      </c>
      <c r="D266" s="769"/>
      <c r="E266" s="769" t="s">
        <v>1233</v>
      </c>
    </row>
    <row r="267" spans="1:7" ht="43.5" hidden="1" outlineLevel="3" x14ac:dyDescent="0.35">
      <c r="A267" s="725" t="s">
        <v>1234</v>
      </c>
      <c r="B267" s="768">
        <v>4</v>
      </c>
      <c r="C267" s="769" t="s">
        <v>1235</v>
      </c>
      <c r="D267" s="770"/>
      <c r="E267" s="769" t="s">
        <v>1236</v>
      </c>
    </row>
    <row r="268" spans="1:7" x14ac:dyDescent="0.35">
      <c r="A268" s="725"/>
      <c r="B268" s="725"/>
      <c r="C268" s="725"/>
      <c r="D268" s="725"/>
      <c r="E268" s="725"/>
      <c r="F268" s="725"/>
      <c r="G268" s="725"/>
    </row>
    <row r="269" spans="1:7" x14ac:dyDescent="0.35">
      <c r="A269" s="882" t="s">
        <v>1237</v>
      </c>
      <c r="B269" s="882"/>
      <c r="C269" s="882"/>
      <c r="D269" s="882"/>
      <c r="E269" s="882"/>
      <c r="F269" s="746"/>
      <c r="G269" s="746"/>
    </row>
    <row r="270" spans="1:7" x14ac:dyDescent="0.35">
      <c r="A270" s="747" t="s">
        <v>511</v>
      </c>
      <c r="B270" s="747" t="s">
        <v>512</v>
      </c>
      <c r="C270" s="747" t="s">
        <v>112</v>
      </c>
      <c r="D270" s="747"/>
      <c r="E270" s="747" t="s">
        <v>513</v>
      </c>
      <c r="F270" s="725"/>
      <c r="G270" s="725"/>
    </row>
    <row r="271" spans="1:7" ht="29" x14ac:dyDescent="0.35">
      <c r="A271" s="436">
        <v>2</v>
      </c>
      <c r="B271" s="749">
        <v>1</v>
      </c>
      <c r="C271" s="750" t="s">
        <v>1238</v>
      </c>
      <c r="D271" s="751">
        <f>D272+D293</f>
        <v>252.31597716503731</v>
      </c>
      <c r="E271" s="750" t="s">
        <v>1239</v>
      </c>
    </row>
    <row r="272" spans="1:7" ht="29" outlineLevel="1" x14ac:dyDescent="0.35">
      <c r="A272" s="436">
        <v>2.1</v>
      </c>
      <c r="B272" s="749">
        <v>2</v>
      </c>
      <c r="C272" s="750" t="s">
        <v>1240</v>
      </c>
      <c r="D272" s="751">
        <f>SUM(D273:D282)</f>
        <v>55.925950056603568</v>
      </c>
      <c r="E272" s="750" t="s">
        <v>1241</v>
      </c>
    </row>
    <row r="273" spans="1:5" ht="43.5" outlineLevel="2" collapsed="1" x14ac:dyDescent="0.35">
      <c r="A273" s="725" t="s">
        <v>1242</v>
      </c>
      <c r="B273" s="749">
        <v>3</v>
      </c>
      <c r="C273" s="750" t="s">
        <v>1243</v>
      </c>
      <c r="D273" s="751">
        <f>'CBS ($ per kW)'!P60</f>
        <v>33.765060240963855</v>
      </c>
      <c r="E273" s="750" t="s">
        <v>1244</v>
      </c>
    </row>
    <row r="274" spans="1:5" ht="29" hidden="1" outlineLevel="3" x14ac:dyDescent="0.35">
      <c r="A274" s="725" t="s">
        <v>1245</v>
      </c>
      <c r="B274" s="749">
        <v>4</v>
      </c>
      <c r="C274" s="750" t="s">
        <v>1246</v>
      </c>
      <c r="D274" s="750"/>
      <c r="E274" s="750" t="s">
        <v>1247</v>
      </c>
    </row>
    <row r="275" spans="1:5" ht="43.5" hidden="1" outlineLevel="3" x14ac:dyDescent="0.35">
      <c r="A275" s="725" t="s">
        <v>1248</v>
      </c>
      <c r="B275" s="749">
        <v>4</v>
      </c>
      <c r="C275" s="750" t="s">
        <v>1249</v>
      </c>
      <c r="D275" s="750"/>
      <c r="E275" s="750" t="s">
        <v>1250</v>
      </c>
    </row>
    <row r="276" spans="1:5" ht="72.5" outlineLevel="2" collapsed="1" x14ac:dyDescent="0.35">
      <c r="A276" s="725" t="s">
        <v>1251</v>
      </c>
      <c r="B276" s="749">
        <v>3</v>
      </c>
      <c r="C276" s="750" t="s">
        <v>1252</v>
      </c>
      <c r="D276" s="762">
        <v>0</v>
      </c>
      <c r="E276" s="750" t="s">
        <v>1253</v>
      </c>
    </row>
    <row r="277" spans="1:5" ht="43.5" hidden="1" outlineLevel="3" x14ac:dyDescent="0.35">
      <c r="A277" s="725" t="s">
        <v>1254</v>
      </c>
      <c r="B277" s="749">
        <v>4</v>
      </c>
      <c r="C277" s="750" t="s">
        <v>1255</v>
      </c>
      <c r="D277" s="750"/>
      <c r="E277" s="750" t="s">
        <v>1256</v>
      </c>
    </row>
    <row r="278" spans="1:5" ht="29" hidden="1" outlineLevel="3" x14ac:dyDescent="0.35">
      <c r="A278" s="725" t="s">
        <v>1257</v>
      </c>
      <c r="B278" s="749">
        <v>4</v>
      </c>
      <c r="C278" s="750" t="s">
        <v>1258</v>
      </c>
      <c r="D278" s="750"/>
      <c r="E278" s="750" t="s">
        <v>1259</v>
      </c>
    </row>
    <row r="279" spans="1:5" ht="43.5" hidden="1" outlineLevel="3" x14ac:dyDescent="0.35">
      <c r="A279" s="725" t="s">
        <v>1260</v>
      </c>
      <c r="B279" s="749">
        <v>4</v>
      </c>
      <c r="C279" s="750" t="s">
        <v>1261</v>
      </c>
      <c r="D279" s="750"/>
      <c r="E279" s="750" t="s">
        <v>1262</v>
      </c>
    </row>
    <row r="280" spans="1:5" ht="29" hidden="1" outlineLevel="3" x14ac:dyDescent="0.35">
      <c r="A280" s="725" t="s">
        <v>1263</v>
      </c>
      <c r="B280" s="749">
        <v>4</v>
      </c>
      <c r="C280" s="750" t="s">
        <v>1264</v>
      </c>
      <c r="D280" s="750"/>
      <c r="E280" s="750" t="s">
        <v>1265</v>
      </c>
    </row>
    <row r="281" spans="1:5" ht="29" outlineLevel="2" x14ac:dyDescent="0.35">
      <c r="A281" s="725" t="s">
        <v>1266</v>
      </c>
      <c r="B281" s="749">
        <v>3</v>
      </c>
      <c r="C281" s="750" t="s">
        <v>1267</v>
      </c>
      <c r="D281" s="751">
        <f>'CBS ($ per kW)'!P59</f>
        <v>22.160889815639713</v>
      </c>
      <c r="E281" s="750" t="s">
        <v>1268</v>
      </c>
    </row>
    <row r="282" spans="1:5" ht="72.5" outlineLevel="2" collapsed="1" x14ac:dyDescent="0.35">
      <c r="A282" s="725" t="s">
        <v>1269</v>
      </c>
      <c r="B282" s="749">
        <v>3</v>
      </c>
      <c r="C282" s="750" t="s">
        <v>1270</v>
      </c>
      <c r="D282" s="762">
        <v>0</v>
      </c>
      <c r="E282" s="750" t="s">
        <v>1271</v>
      </c>
    </row>
    <row r="283" spans="1:5" ht="29" hidden="1" outlineLevel="3" x14ac:dyDescent="0.35">
      <c r="A283" s="725" t="s">
        <v>1272</v>
      </c>
      <c r="B283" s="749">
        <v>4</v>
      </c>
      <c r="C283" s="750" t="s">
        <v>1273</v>
      </c>
      <c r="D283" s="750"/>
      <c r="E283" s="750" t="s">
        <v>1274</v>
      </c>
    </row>
    <row r="284" spans="1:5" ht="29" hidden="1" outlineLevel="3" x14ac:dyDescent="0.35">
      <c r="A284" s="725" t="s">
        <v>1275</v>
      </c>
      <c r="B284" s="749">
        <v>4</v>
      </c>
      <c r="C284" s="750" t="s">
        <v>1276</v>
      </c>
      <c r="D284" s="750"/>
      <c r="E284" s="750" t="s">
        <v>1277</v>
      </c>
    </row>
    <row r="285" spans="1:5" ht="29" hidden="1" outlineLevel="3" x14ac:dyDescent="0.35">
      <c r="A285" s="725" t="s">
        <v>1278</v>
      </c>
      <c r="B285" s="749">
        <v>4</v>
      </c>
      <c r="C285" s="750" t="s">
        <v>1279</v>
      </c>
      <c r="D285" s="750"/>
      <c r="E285" s="750" t="s">
        <v>1280</v>
      </c>
    </row>
    <row r="286" spans="1:5" ht="58" hidden="1" outlineLevel="3" x14ac:dyDescent="0.35">
      <c r="A286" s="725" t="s">
        <v>1281</v>
      </c>
      <c r="B286" s="749">
        <v>4</v>
      </c>
      <c r="C286" s="750" t="s">
        <v>1282</v>
      </c>
      <c r="D286" s="750"/>
      <c r="E286" s="750" t="s">
        <v>1283</v>
      </c>
    </row>
    <row r="287" spans="1:5" ht="43.5" hidden="1" outlineLevel="3" x14ac:dyDescent="0.35">
      <c r="A287" s="725" t="s">
        <v>1284</v>
      </c>
      <c r="B287" s="749">
        <v>4</v>
      </c>
      <c r="C287" s="750" t="s">
        <v>1285</v>
      </c>
      <c r="D287" s="750"/>
      <c r="E287" s="750" t="s">
        <v>1286</v>
      </c>
    </row>
    <row r="288" spans="1:5" ht="29" hidden="1" outlineLevel="3" x14ac:dyDescent="0.35">
      <c r="A288" s="725" t="s">
        <v>1287</v>
      </c>
      <c r="B288" s="749">
        <v>4</v>
      </c>
      <c r="C288" s="750" t="s">
        <v>1288</v>
      </c>
      <c r="D288" s="750"/>
      <c r="E288" s="750" t="s">
        <v>1289</v>
      </c>
    </row>
    <row r="289" spans="1:5" ht="43.5" hidden="1" outlineLevel="3" x14ac:dyDescent="0.35">
      <c r="A289" s="725" t="s">
        <v>1290</v>
      </c>
      <c r="B289" s="749">
        <v>4</v>
      </c>
      <c r="C289" s="750" t="s">
        <v>1291</v>
      </c>
      <c r="D289" s="750"/>
      <c r="E289" s="750" t="s">
        <v>1292</v>
      </c>
    </row>
    <row r="290" spans="1:5" ht="43.5" hidden="1" outlineLevel="3" x14ac:dyDescent="0.35">
      <c r="A290" s="725" t="s">
        <v>1293</v>
      </c>
      <c r="B290" s="749">
        <v>4</v>
      </c>
      <c r="C290" s="750" t="s">
        <v>1294</v>
      </c>
      <c r="D290" s="750"/>
      <c r="E290" s="750" t="s">
        <v>1295</v>
      </c>
    </row>
    <row r="291" spans="1:5" ht="29" hidden="1" outlineLevel="3" x14ac:dyDescent="0.35">
      <c r="A291" s="725" t="s">
        <v>1296</v>
      </c>
      <c r="B291" s="749">
        <v>4</v>
      </c>
      <c r="C291" s="750" t="s">
        <v>1297</v>
      </c>
      <c r="D291" s="750"/>
      <c r="E291" s="750" t="s">
        <v>1298</v>
      </c>
    </row>
    <row r="292" spans="1:5" ht="29" hidden="1" outlineLevel="3" x14ac:dyDescent="0.35">
      <c r="A292" s="725" t="s">
        <v>1299</v>
      </c>
      <c r="B292" s="749">
        <v>4</v>
      </c>
      <c r="C292" s="750" t="s">
        <v>670</v>
      </c>
      <c r="D292" s="750"/>
      <c r="E292" s="750" t="s">
        <v>1300</v>
      </c>
    </row>
    <row r="293" spans="1:5" ht="29" outlineLevel="1" x14ac:dyDescent="0.35">
      <c r="A293" s="436">
        <v>2.2000000000000002</v>
      </c>
      <c r="B293" s="749">
        <v>2</v>
      </c>
      <c r="C293" s="750" t="s">
        <v>1301</v>
      </c>
      <c r="D293" s="771">
        <f>SUM(D294:D305)</f>
        <v>196.39002710843374</v>
      </c>
      <c r="E293" s="750" t="s">
        <v>1302</v>
      </c>
    </row>
    <row r="294" spans="1:5" ht="87" outlineLevel="2" x14ac:dyDescent="0.35">
      <c r="A294" s="725" t="s">
        <v>1303</v>
      </c>
      <c r="B294" s="749">
        <v>3</v>
      </c>
      <c r="C294" s="750" t="s">
        <v>1304</v>
      </c>
      <c r="D294" s="762">
        <v>0</v>
      </c>
      <c r="E294" s="750" t="s">
        <v>1305</v>
      </c>
    </row>
    <row r="295" spans="1:5" ht="87" outlineLevel="2" collapsed="1" x14ac:dyDescent="0.35">
      <c r="A295" s="725" t="s">
        <v>1306</v>
      </c>
      <c r="B295" s="749">
        <v>3</v>
      </c>
      <c r="C295" s="750" t="s">
        <v>1307</v>
      </c>
      <c r="D295" s="766">
        <f>('CBS ($ per kW)'!P61+'CBS ($ per kW)'!P62+'CBS ($ per kW)'!P63+'CBS ($ per kW)'!P64)/2</f>
        <v>98.195013554216871</v>
      </c>
      <c r="E295" s="750" t="s">
        <v>1308</v>
      </c>
    </row>
    <row r="296" spans="1:5" ht="29" hidden="1" outlineLevel="3" x14ac:dyDescent="0.35">
      <c r="A296" s="725" t="s">
        <v>1309</v>
      </c>
      <c r="B296" s="749">
        <v>4</v>
      </c>
      <c r="C296" s="750" t="s">
        <v>1310</v>
      </c>
      <c r="D296" s="750"/>
      <c r="E296" s="750" t="s">
        <v>1311</v>
      </c>
    </row>
    <row r="297" spans="1:5" hidden="1" outlineLevel="4" x14ac:dyDescent="0.35">
      <c r="A297" s="725" t="s">
        <v>1312</v>
      </c>
      <c r="B297" s="755">
        <v>5</v>
      </c>
      <c r="C297" s="753" t="s">
        <v>1313</v>
      </c>
      <c r="D297" s="753"/>
      <c r="E297" s="753" t="s">
        <v>1314</v>
      </c>
    </row>
    <row r="298" spans="1:5" ht="29" hidden="1" outlineLevel="4" x14ac:dyDescent="0.35">
      <c r="A298" s="725" t="s">
        <v>1315</v>
      </c>
      <c r="B298" s="755">
        <v>5</v>
      </c>
      <c r="C298" s="753" t="s">
        <v>1316</v>
      </c>
      <c r="D298" s="753"/>
      <c r="E298" s="753" t="s">
        <v>1317</v>
      </c>
    </row>
    <row r="299" spans="1:5" hidden="1" outlineLevel="3" x14ac:dyDescent="0.35">
      <c r="A299" s="725" t="s">
        <v>1318</v>
      </c>
      <c r="B299" s="749">
        <v>4</v>
      </c>
      <c r="C299" s="750" t="s">
        <v>1319</v>
      </c>
      <c r="D299" s="750"/>
      <c r="E299" s="750" t="s">
        <v>1320</v>
      </c>
    </row>
    <row r="300" spans="1:5" ht="29" hidden="1" outlineLevel="4" x14ac:dyDescent="0.35">
      <c r="A300" s="78" t="s">
        <v>1321</v>
      </c>
      <c r="B300" s="755">
        <v>5</v>
      </c>
      <c r="C300" s="753" t="s">
        <v>1322</v>
      </c>
      <c r="D300" s="753"/>
      <c r="E300" s="753" t="s">
        <v>1323</v>
      </c>
    </row>
    <row r="301" spans="1:5" ht="43.5" hidden="1" outlineLevel="4" x14ac:dyDescent="0.35">
      <c r="A301" s="78" t="s">
        <v>1324</v>
      </c>
      <c r="B301" s="755">
        <v>5</v>
      </c>
      <c r="C301" s="753" t="s">
        <v>1325</v>
      </c>
      <c r="D301" s="753"/>
      <c r="E301" s="753" t="s">
        <v>1326</v>
      </c>
    </row>
    <row r="302" spans="1:5" ht="29" hidden="1" outlineLevel="4" x14ac:dyDescent="0.35">
      <c r="A302" s="78" t="s">
        <v>1327</v>
      </c>
      <c r="B302" s="755">
        <v>5</v>
      </c>
      <c r="C302" s="753" t="s">
        <v>1328</v>
      </c>
      <c r="D302" s="753"/>
      <c r="E302" s="753" t="s">
        <v>1329</v>
      </c>
    </row>
    <row r="303" spans="1:5" ht="29" hidden="1" outlineLevel="4" x14ac:dyDescent="0.35">
      <c r="A303" s="78" t="s">
        <v>1330</v>
      </c>
      <c r="B303" s="755">
        <v>5</v>
      </c>
      <c r="C303" s="753" t="s">
        <v>1331</v>
      </c>
      <c r="D303" s="753"/>
      <c r="E303" s="753" t="s">
        <v>1332</v>
      </c>
    </row>
    <row r="304" spans="1:5" ht="29" hidden="1" outlineLevel="4" x14ac:dyDescent="0.35">
      <c r="A304" s="78" t="s">
        <v>1333</v>
      </c>
      <c r="B304" s="755">
        <v>5</v>
      </c>
      <c r="C304" s="753" t="s">
        <v>1334</v>
      </c>
      <c r="D304" s="753"/>
      <c r="E304" s="753" t="s">
        <v>1335</v>
      </c>
    </row>
    <row r="305" spans="1:7" ht="58" outlineLevel="2" collapsed="1" x14ac:dyDescent="0.35">
      <c r="A305" s="725" t="s">
        <v>1336</v>
      </c>
      <c r="B305" s="749">
        <v>3</v>
      </c>
      <c r="C305" s="750" t="s">
        <v>1337</v>
      </c>
      <c r="D305" s="771">
        <f>D295</f>
        <v>98.195013554216871</v>
      </c>
      <c r="E305" s="750" t="s">
        <v>1338</v>
      </c>
    </row>
    <row r="306" spans="1:7" ht="29" hidden="1" outlineLevel="3" x14ac:dyDescent="0.35">
      <c r="A306" s="725" t="s">
        <v>1339</v>
      </c>
      <c r="B306" s="772">
        <v>4</v>
      </c>
      <c r="C306" s="773" t="s">
        <v>1340</v>
      </c>
      <c r="D306" s="773"/>
      <c r="E306" s="773" t="s">
        <v>1341</v>
      </c>
    </row>
    <row r="307" spans="1:7" ht="29.5" hidden="1" outlineLevel="4" thickBot="1" x14ac:dyDescent="0.4">
      <c r="A307" s="725" t="s">
        <v>1342</v>
      </c>
      <c r="B307" s="774">
        <v>5</v>
      </c>
      <c r="C307" s="775" t="s">
        <v>1343</v>
      </c>
      <c r="D307" s="776"/>
      <c r="E307" s="775" t="s">
        <v>1344</v>
      </c>
    </row>
    <row r="308" spans="1:7" ht="29" hidden="1" outlineLevel="4" x14ac:dyDescent="0.35">
      <c r="A308" s="725" t="s">
        <v>1345</v>
      </c>
      <c r="B308" s="777">
        <v>5</v>
      </c>
      <c r="C308" s="776" t="s">
        <v>1346</v>
      </c>
      <c r="D308" s="776"/>
      <c r="E308" s="776" t="s">
        <v>1347</v>
      </c>
    </row>
    <row r="309" spans="1:7" hidden="1" outlineLevel="3" x14ac:dyDescent="0.35">
      <c r="A309" s="725" t="s">
        <v>1348</v>
      </c>
      <c r="B309" s="772">
        <v>4</v>
      </c>
      <c r="C309" s="773" t="s">
        <v>1349</v>
      </c>
      <c r="D309" s="773"/>
      <c r="E309" s="773" t="s">
        <v>1350</v>
      </c>
    </row>
    <row r="310" spans="1:7" ht="44" hidden="1" outlineLevel="4" thickBot="1" x14ac:dyDescent="0.4">
      <c r="A310" s="78" t="s">
        <v>1351</v>
      </c>
      <c r="B310" s="774">
        <v>5</v>
      </c>
      <c r="C310" s="775" t="s">
        <v>1325</v>
      </c>
      <c r="D310" s="776"/>
      <c r="E310" s="775" t="s">
        <v>1326</v>
      </c>
    </row>
    <row r="311" spans="1:7" ht="29.5" hidden="1" outlineLevel="4" thickBot="1" x14ac:dyDescent="0.4">
      <c r="A311" s="78" t="s">
        <v>1352</v>
      </c>
      <c r="B311" s="774">
        <v>5</v>
      </c>
      <c r="C311" s="775" t="s">
        <v>1328</v>
      </c>
      <c r="D311" s="776"/>
      <c r="E311" s="775" t="s">
        <v>1329</v>
      </c>
    </row>
    <row r="312" spans="1:7" ht="29.5" hidden="1" outlineLevel="4" thickBot="1" x14ac:dyDescent="0.4">
      <c r="A312" s="78" t="s">
        <v>1353</v>
      </c>
      <c r="B312" s="774">
        <v>5</v>
      </c>
      <c r="C312" s="775" t="s">
        <v>1331</v>
      </c>
      <c r="D312" s="776"/>
      <c r="E312" s="775" t="s">
        <v>1332</v>
      </c>
    </row>
    <row r="313" spans="1:7" ht="29.5" hidden="1" outlineLevel="4" thickBot="1" x14ac:dyDescent="0.4">
      <c r="A313" s="78" t="s">
        <v>1354</v>
      </c>
      <c r="B313" s="774">
        <v>5</v>
      </c>
      <c r="C313" s="775" t="s">
        <v>1334</v>
      </c>
      <c r="D313" s="776"/>
      <c r="E313" s="775" t="s">
        <v>1335</v>
      </c>
    </row>
    <row r="314" spans="1:7" ht="29" hidden="1" outlineLevel="3" x14ac:dyDescent="0.35">
      <c r="A314" s="78" t="s">
        <v>1355</v>
      </c>
      <c r="B314" s="772">
        <v>4</v>
      </c>
      <c r="C314" s="773" t="s">
        <v>1356</v>
      </c>
      <c r="D314" s="773"/>
      <c r="E314" s="773" t="s">
        <v>1357</v>
      </c>
    </row>
    <row r="315" spans="1:7" x14ac:dyDescent="0.35">
      <c r="A315" s="725"/>
      <c r="B315" s="734"/>
      <c r="C315" s="725"/>
      <c r="D315" s="725"/>
      <c r="E315" s="725"/>
      <c r="F315" s="725"/>
      <c r="G315" s="725"/>
    </row>
    <row r="316" spans="1:7" x14ac:dyDescent="0.35">
      <c r="A316" s="778" t="s">
        <v>1358</v>
      </c>
      <c r="B316" s="779"/>
      <c r="C316" s="780"/>
      <c r="D316" s="781"/>
      <c r="E316" s="781"/>
    </row>
    <row r="317" spans="1:7" x14ac:dyDescent="0.35">
      <c r="A317" s="782" t="s">
        <v>1359</v>
      </c>
      <c r="B317" s="782"/>
      <c r="C317" s="783"/>
      <c r="D317" s="781"/>
      <c r="E317" s="781"/>
    </row>
  </sheetData>
  <mergeCells count="4">
    <mergeCell ref="A3:E3"/>
    <mergeCell ref="B4:E4"/>
    <mergeCell ref="A6:E6"/>
    <mergeCell ref="A269:E269"/>
  </mergeCells>
  <conditionalFormatting sqref="C2:E2">
    <cfRule type="cellIs" dxfId="6" priority="3" operator="equal">
      <formula>5</formula>
    </cfRule>
    <cfRule type="cellIs" dxfId="5" priority="4" operator="equal">
      <formula>4</formula>
    </cfRule>
    <cfRule type="cellIs" dxfId="4" priority="5" operator="equal">
      <formula>3</formula>
    </cfRule>
    <cfRule type="cellIs" dxfId="3" priority="6" operator="equal">
      <formula>2</formula>
    </cfRule>
    <cfRule type="cellIs" dxfId="2" priority="7" operator="equal">
      <formula>1</formula>
    </cfRule>
  </conditionalFormatting>
  <conditionalFormatting sqref="B8:E8">
    <cfRule type="expression" dxfId="1" priority="2">
      <formula>#REF!=1</formula>
    </cfRule>
  </conditionalFormatting>
  <conditionalFormatting sqref="B226">
    <cfRule type="cellIs" dxfId="0" priority="1" operator="equal">
      <formula>5</formula>
    </cfRule>
  </conditionalFormatting>
  <pageMargins left="0.7" right="0.7" top="0.75" bottom="0.75" header="0.3" footer="0.3"/>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0"/>
  <sheetViews>
    <sheetView topLeftCell="A52" zoomScale="80" zoomScaleNormal="80" workbookViewId="0">
      <selection activeCell="H94" sqref="H94"/>
    </sheetView>
  </sheetViews>
  <sheetFormatPr defaultRowHeight="14.5" x14ac:dyDescent="0.35"/>
  <cols>
    <col min="1" max="1" width="35.6328125" customWidth="1"/>
    <col min="2" max="2" width="30.90625" customWidth="1"/>
    <col min="3" max="3" width="21.36328125" customWidth="1"/>
    <col min="4" max="5" width="14.6328125" customWidth="1"/>
    <col min="6" max="7" width="12.6328125" customWidth="1"/>
    <col min="8" max="8" width="35.6328125" customWidth="1"/>
    <col min="9" max="14" width="12.6328125" customWidth="1"/>
  </cols>
  <sheetData>
    <row r="2" spans="1:14" x14ac:dyDescent="0.35">
      <c r="A2" s="257" t="s">
        <v>214</v>
      </c>
      <c r="B2">
        <v>0</v>
      </c>
      <c r="C2" t="s">
        <v>215</v>
      </c>
      <c r="D2" s="252"/>
      <c r="E2" s="252"/>
    </row>
    <row r="3" spans="1:14" x14ac:dyDescent="0.35">
      <c r="A3" s="252" t="s">
        <v>213</v>
      </c>
      <c r="B3" s="252">
        <v>1000</v>
      </c>
      <c r="C3" s="252"/>
      <c r="D3" s="250"/>
      <c r="E3" s="244"/>
    </row>
    <row r="4" spans="1:14" x14ac:dyDescent="0.35">
      <c r="A4" s="242" t="str">
        <f>IF(B3=1,"Total Cost ($)",IF(B3=1000,"Total Cost in Thousands ($)",IF(B3=1000000,"Total Cost in Millions ($)","CostBasisnotspecified")))</f>
        <v>Total Cost in Thousands ($)</v>
      </c>
      <c r="B4" s="244"/>
      <c r="C4" s="244"/>
      <c r="D4" s="244"/>
      <c r="E4" s="244"/>
    </row>
    <row r="5" spans="1:14" x14ac:dyDescent="0.35">
      <c r="A5" s="883"/>
      <c r="B5" s="318" t="s">
        <v>96</v>
      </c>
      <c r="C5" s="319" t="s">
        <v>86</v>
      </c>
      <c r="D5" s="320" t="s">
        <v>87</v>
      </c>
      <c r="E5" s="318" t="s">
        <v>88</v>
      </c>
    </row>
    <row r="6" spans="1:14" x14ac:dyDescent="0.35">
      <c r="A6" s="884"/>
      <c r="B6" s="318" t="s">
        <v>80</v>
      </c>
      <c r="C6" s="318" t="s">
        <v>80</v>
      </c>
      <c r="D6" s="318" t="s">
        <v>80</v>
      </c>
      <c r="E6" s="318" t="s">
        <v>80</v>
      </c>
    </row>
    <row r="7" spans="1:14" x14ac:dyDescent="0.35">
      <c r="A7" s="253" t="s">
        <v>98</v>
      </c>
      <c r="B7" s="254">
        <f>ROUND('CBS (Total)'!J4/B3,-B2)</f>
        <v>4405</v>
      </c>
      <c r="C7" s="254">
        <f>ROUND('CBS (Total)'!L4/B3,-B2)</f>
        <v>8109</v>
      </c>
      <c r="D7" s="254">
        <f>ROUND('CBS (Total)'!N4/B3,-B2)</f>
        <v>8997</v>
      </c>
      <c r="E7" s="254">
        <f>ROUND('CBS (Total)'!P4/B3,-B2)</f>
        <v>8856</v>
      </c>
    </row>
    <row r="8" spans="1:14" x14ac:dyDescent="0.35">
      <c r="A8" s="253" t="s">
        <v>10</v>
      </c>
      <c r="B8" s="254">
        <f>ROUND('CBS (Total)'!J12/B3,-B2)</f>
        <v>990</v>
      </c>
      <c r="C8" s="254">
        <f>ROUND('CBS (Total)'!L12/B3,-B2)</f>
        <v>4860</v>
      </c>
      <c r="D8" s="254">
        <f>ROUND('CBS (Total)'!N12/B3,-B2)</f>
        <v>7566</v>
      </c>
      <c r="E8" s="254">
        <f>ROUND('CBS (Total)'!P12/B3,-B2)</f>
        <v>17310</v>
      </c>
    </row>
    <row r="9" spans="1:14" x14ac:dyDescent="0.35">
      <c r="A9" s="253" t="s">
        <v>18</v>
      </c>
      <c r="B9" s="254">
        <f>ROUND('CBS (Total)'!J18/B3,-B2)</f>
        <v>91</v>
      </c>
      <c r="C9" s="254">
        <f>ROUND('CBS (Total)'!L18/B3,-B2)</f>
        <v>713</v>
      </c>
      <c r="D9" s="254">
        <f>ROUND('CBS (Total)'!N18/B3,-B2)</f>
        <v>3012</v>
      </c>
      <c r="E9" s="254">
        <f>ROUND('CBS (Total)'!P18/B3,-B2)</f>
        <v>5602</v>
      </c>
    </row>
    <row r="10" spans="1:14" x14ac:dyDescent="0.35">
      <c r="A10" s="253" t="s">
        <v>27</v>
      </c>
      <c r="B10" s="254">
        <f>ROUND('CBS (Total)'!J24/B3,-B2)</f>
        <v>298</v>
      </c>
      <c r="C10" s="254">
        <f>ROUND('CBS (Total)'!L24/B3,-B2)</f>
        <v>2070</v>
      </c>
      <c r="D10" s="254">
        <f>ROUND('CBS (Total)'!N24/B3,-B2)</f>
        <v>9109</v>
      </c>
      <c r="E10" s="254">
        <f>ROUND('CBS (Total)'!P24/B3,-B2)</f>
        <v>17652</v>
      </c>
    </row>
    <row r="11" spans="1:14" x14ac:dyDescent="0.35">
      <c r="A11" s="253" t="s">
        <v>32</v>
      </c>
      <c r="B11" s="254">
        <f>ROUND('CBS (Total)'!J29/B3,-B2)</f>
        <v>649</v>
      </c>
      <c r="C11" s="254">
        <f>ROUND('CBS (Total)'!L29/B3,-B2)</f>
        <v>5070</v>
      </c>
      <c r="D11" s="254">
        <f>ROUND('CBS (Total)'!N29/B3,-B2)</f>
        <v>22143</v>
      </c>
      <c r="E11" s="254">
        <f>ROUND('CBS (Total)'!P29/B3,-B2)</f>
        <v>42086</v>
      </c>
    </row>
    <row r="12" spans="1:14" s="251" customFormat="1" x14ac:dyDescent="0.35">
      <c r="A12" s="253" t="s">
        <v>72</v>
      </c>
      <c r="B12" s="254">
        <f>ROUND('CBS (Total)'!J43/B3,-B2)</f>
        <v>284</v>
      </c>
      <c r="C12" s="254">
        <f>ROUND('CBS (Total)'!L43/B3,-B2)</f>
        <v>1428</v>
      </c>
      <c r="D12" s="254">
        <f>ROUND('CBS (Total)'!N43/B3,-B2)</f>
        <v>6250</v>
      </c>
      <c r="E12" s="254">
        <f>ROUND('CBS (Total)'!P43/B3,-B2)</f>
        <v>11948</v>
      </c>
    </row>
    <row r="13" spans="1:14" x14ac:dyDescent="0.35">
      <c r="A13" s="253" t="s">
        <v>47</v>
      </c>
      <c r="B13" s="254">
        <f>ROUND('CBS (Total)'!J44/B3,-B2)</f>
        <v>6055</v>
      </c>
      <c r="C13" s="254">
        <f>ROUND('CBS (Total)'!L44/B3,-B2)</f>
        <v>10551</v>
      </c>
      <c r="D13" s="254">
        <f>ROUND('CBS (Total)'!N44/B3,-B2)</f>
        <v>28876</v>
      </c>
      <c r="E13" s="254">
        <f>ROUND('CBS (Total)'!P44/B3,-B2)</f>
        <v>52550</v>
      </c>
    </row>
    <row r="14" spans="1:14" x14ac:dyDescent="0.35">
      <c r="A14" s="253" t="s">
        <v>138</v>
      </c>
      <c r="B14" s="254">
        <f>ROUND('CBS (Total)'!J52/B3,-B2)</f>
        <v>1277</v>
      </c>
      <c r="C14" s="254">
        <f>ROUND('CBS (Total)'!L52/B3,-B2)</f>
        <v>3280</v>
      </c>
      <c r="D14" s="254">
        <f>ROUND('CBS (Total)'!N52/B3,-B2)</f>
        <v>8595</v>
      </c>
      <c r="E14" s="254">
        <f>ROUND('CBS (Total)'!P52/B3,-B2)</f>
        <v>15600</v>
      </c>
    </row>
    <row r="15" spans="1:14" x14ac:dyDescent="0.35">
      <c r="A15" s="253" t="s">
        <v>81</v>
      </c>
      <c r="B15" s="254">
        <f>SUM(B7:B14)</f>
        <v>14049</v>
      </c>
      <c r="C15" s="254">
        <f>SUM(C7:C14)</f>
        <v>36081</v>
      </c>
      <c r="D15" s="254">
        <f>SUM(D7:D14)</f>
        <v>94548</v>
      </c>
      <c r="E15" s="254">
        <f>SUM(E7:E14)</f>
        <v>171604</v>
      </c>
    </row>
    <row r="16" spans="1:14" s="255" customFormat="1" x14ac:dyDescent="0.35">
      <c r="A16" s="243"/>
      <c r="B16" s="246"/>
      <c r="C16" s="246"/>
      <c r="D16" s="246"/>
      <c r="E16" s="246"/>
      <c r="J16" s="270"/>
      <c r="L16" s="270"/>
      <c r="N16" s="270"/>
    </row>
    <row r="17" spans="1:14" s="255" customFormat="1" x14ac:dyDescent="0.35">
      <c r="A17" s="255" t="s">
        <v>214</v>
      </c>
      <c r="B17">
        <v>1</v>
      </c>
      <c r="C17" s="255" t="s">
        <v>215</v>
      </c>
      <c r="D17" s="246"/>
      <c r="E17" s="246"/>
      <c r="N17" s="270"/>
    </row>
    <row r="19" spans="1:14" s="255" customFormat="1" x14ac:dyDescent="0.35">
      <c r="A19" s="279" t="s">
        <v>0</v>
      </c>
    </row>
    <row r="20" spans="1:14" x14ac:dyDescent="0.35">
      <c r="A20" s="247"/>
      <c r="B20" s="318" t="s">
        <v>96</v>
      </c>
      <c r="C20" s="319" t="s">
        <v>86</v>
      </c>
      <c r="D20" s="320" t="s">
        <v>87</v>
      </c>
      <c r="E20" s="318" t="s">
        <v>88</v>
      </c>
    </row>
    <row r="21" spans="1:14" x14ac:dyDescent="0.35">
      <c r="A21" s="245"/>
      <c r="B21" s="318" t="s">
        <v>216</v>
      </c>
      <c r="C21" s="318" t="s">
        <v>216</v>
      </c>
      <c r="D21" s="318" t="s">
        <v>216</v>
      </c>
      <c r="E21" s="318" t="s">
        <v>216</v>
      </c>
    </row>
    <row r="22" spans="1:14" x14ac:dyDescent="0.35">
      <c r="A22" s="253" t="s">
        <v>98</v>
      </c>
      <c r="B22" s="256">
        <f>ROUND('CBS ($ per kW)'!J6,-B17)</f>
        <v>13270</v>
      </c>
      <c r="C22" s="256">
        <f>ROUND('CBS ($ per kW)'!L6,-B17)</f>
        <v>2440</v>
      </c>
      <c r="D22" s="256">
        <f>ROUND('CBS ($ per kW)'!N6,-B17)</f>
        <v>540</v>
      </c>
      <c r="E22" s="256">
        <f>ROUND('CBS ($ per kW)'!P6,-B17)</f>
        <v>270</v>
      </c>
    </row>
    <row r="23" spans="1:14" x14ac:dyDescent="0.35">
      <c r="A23" s="253" t="s">
        <v>10</v>
      </c>
      <c r="B23" s="256">
        <f>ROUND('CBS ($ per kW)'!J14,-B17)</f>
        <v>2980</v>
      </c>
      <c r="C23" s="256">
        <f>ROUND('CBS ($ per kW)'!L14,-B17)</f>
        <v>1460</v>
      </c>
      <c r="D23" s="256">
        <f>ROUND('CBS ($ per kW)'!N14,-B17)</f>
        <v>460</v>
      </c>
      <c r="E23" s="256">
        <f>ROUND('CBS ($ per kW)'!P14,-B17)</f>
        <v>520</v>
      </c>
    </row>
    <row r="24" spans="1:14" x14ac:dyDescent="0.35">
      <c r="A24" s="253" t="s">
        <v>18</v>
      </c>
      <c r="B24" s="256">
        <f>ROUND('CBS ($ per kW)'!J20,-B17)</f>
        <v>270</v>
      </c>
      <c r="C24" s="256">
        <f>ROUND('CBS ($ per kW)'!L20,-B17)</f>
        <v>210</v>
      </c>
      <c r="D24" s="256">
        <f>ROUND('CBS ($ per kW)'!N20,-B17)</f>
        <v>180</v>
      </c>
      <c r="E24" s="256">
        <f>ROUND('CBS ($ per kW)'!P20,-B17)</f>
        <v>170</v>
      </c>
    </row>
    <row r="25" spans="1:14" x14ac:dyDescent="0.35">
      <c r="A25" s="253" t="s">
        <v>27</v>
      </c>
      <c r="B25" s="256">
        <f>ROUND('CBS ($ per kW)'!J26,-B17)</f>
        <v>900</v>
      </c>
      <c r="C25" s="256">
        <f>ROUND('CBS ($ per kW)'!L26,-B17)</f>
        <v>620</v>
      </c>
      <c r="D25" s="256">
        <f>ROUND('CBS ($ per kW)'!N26,-B17)</f>
        <v>550</v>
      </c>
      <c r="E25" s="256">
        <f>ROUND('CBS ($ per kW)'!P26,-B17)</f>
        <v>530</v>
      </c>
    </row>
    <row r="26" spans="1:14" x14ac:dyDescent="0.35">
      <c r="A26" s="253" t="s">
        <v>32</v>
      </c>
      <c r="B26" s="256">
        <f>ROUND('CBS ($ per kW)'!J31,-B17)</f>
        <v>1950</v>
      </c>
      <c r="C26" s="256">
        <f>ROUND('CBS ($ per kW)'!L31,-B17)</f>
        <v>1530</v>
      </c>
      <c r="D26" s="256">
        <f>ROUND('CBS ($ per kW)'!N31,-B17)</f>
        <v>1330</v>
      </c>
      <c r="E26" s="256">
        <f>ROUND('CBS ($ per kW)'!P31,-B17)</f>
        <v>1270</v>
      </c>
    </row>
    <row r="27" spans="1:14" x14ac:dyDescent="0.35">
      <c r="A27" s="253" t="s">
        <v>72</v>
      </c>
      <c r="B27" s="256">
        <f>ROUND('CBS ($ per kW)'!J45,-B17)</f>
        <v>860</v>
      </c>
      <c r="C27" s="256">
        <f>ROUND('CBS ($ per kW)'!L45,-B17)</f>
        <v>430</v>
      </c>
      <c r="D27" s="256">
        <f>ROUND('CBS ($ per kW)'!N45,-B17)</f>
        <v>380</v>
      </c>
      <c r="E27" s="256">
        <f>ROUND('CBS ($ per kW)'!P45,-B17)</f>
        <v>360</v>
      </c>
    </row>
    <row r="28" spans="1:14" x14ac:dyDescent="0.35">
      <c r="A28" s="253" t="s">
        <v>47</v>
      </c>
      <c r="B28" s="256">
        <f>ROUND('CBS ($ per kW)'!J46,-B17)</f>
        <v>18240</v>
      </c>
      <c r="C28" s="256">
        <f>ROUND('CBS ($ per kW)'!L46,-B17)</f>
        <v>3180</v>
      </c>
      <c r="D28" s="256">
        <f>ROUND('CBS ($ per kW)'!N46,-B17)</f>
        <v>1740</v>
      </c>
      <c r="E28" s="256">
        <f>ROUND('CBS ($ per kW)'!P46,-B17)</f>
        <v>1580</v>
      </c>
    </row>
    <row r="29" spans="1:14" x14ac:dyDescent="0.35">
      <c r="A29" s="253" t="s">
        <v>138</v>
      </c>
      <c r="B29" s="256">
        <f>ROUND('CBS ($ per kW)'!J54,-B17)</f>
        <v>3850</v>
      </c>
      <c r="C29" s="256">
        <f>ROUND('CBS ($ per kW)'!L54,-B17)</f>
        <v>990</v>
      </c>
      <c r="D29" s="256">
        <f>ROUND('CBS ($ per kW)'!N54,-B17)</f>
        <v>520</v>
      </c>
      <c r="E29" s="256">
        <f>ROUND('CBS ($ per kW)'!P54,-B17)</f>
        <v>470</v>
      </c>
    </row>
    <row r="30" spans="1:14" x14ac:dyDescent="0.35">
      <c r="A30" s="253" t="s">
        <v>81</v>
      </c>
      <c r="B30" s="248">
        <f>SUM(B22:B29)</f>
        <v>42320</v>
      </c>
      <c r="C30" s="248">
        <f>SUM(C22:C29)</f>
        <v>10860</v>
      </c>
      <c r="D30" s="248">
        <f>SUM(D22:D29)</f>
        <v>5700</v>
      </c>
      <c r="E30" s="248">
        <f>SUM(E22:E29)</f>
        <v>5170</v>
      </c>
    </row>
    <row r="31" spans="1:14" s="293" customFormat="1" x14ac:dyDescent="0.35">
      <c r="A31" s="243"/>
      <c r="B31" s="301"/>
      <c r="C31" s="301"/>
      <c r="D31" s="301"/>
      <c r="E31" s="301"/>
    </row>
    <row r="32" spans="1:14" s="293" customFormat="1" x14ac:dyDescent="0.35">
      <c r="A32" s="243"/>
      <c r="B32" s="301"/>
      <c r="C32" s="301"/>
      <c r="D32" s="301"/>
      <c r="E32" s="301"/>
    </row>
    <row r="33" spans="1:7" s="293" customFormat="1" x14ac:dyDescent="0.35">
      <c r="A33" s="243"/>
      <c r="B33" s="301"/>
      <c r="C33" s="301"/>
      <c r="D33" s="301"/>
      <c r="E33" s="301"/>
    </row>
    <row r="34" spans="1:7" s="293" customFormat="1" x14ac:dyDescent="0.35">
      <c r="A34" t="s">
        <v>0</v>
      </c>
      <c r="B34"/>
      <c r="C34"/>
      <c r="D34"/>
      <c r="E34"/>
      <c r="F34"/>
      <c r="G34"/>
    </row>
    <row r="35" spans="1:7" s="293" customFormat="1" x14ac:dyDescent="0.35">
      <c r="A35" s="265"/>
      <c r="B35" s="885" t="s">
        <v>86</v>
      </c>
      <c r="C35" s="886"/>
      <c r="D35" s="885" t="s">
        <v>87</v>
      </c>
      <c r="E35" s="886"/>
      <c r="F35" s="885" t="s">
        <v>88</v>
      </c>
      <c r="G35" s="886"/>
    </row>
    <row r="36" spans="1:7" s="293" customFormat="1" x14ac:dyDescent="0.35">
      <c r="A36" s="263"/>
      <c r="B36" s="264" t="s">
        <v>217</v>
      </c>
      <c r="C36" s="264" t="s">
        <v>218</v>
      </c>
      <c r="D36" s="264" t="s">
        <v>217</v>
      </c>
      <c r="E36" s="264" t="s">
        <v>218</v>
      </c>
      <c r="F36" s="264" t="s">
        <v>217</v>
      </c>
      <c r="G36" s="264" t="s">
        <v>218</v>
      </c>
    </row>
    <row r="37" spans="1:7" s="293" customFormat="1" x14ac:dyDescent="0.35">
      <c r="A37" s="260" t="s">
        <v>98</v>
      </c>
      <c r="B37" s="262">
        <f>'CBS (CoE)'!L6</f>
        <v>10.702359576577937</v>
      </c>
      <c r="C37" s="261">
        <f t="shared" ref="C37:C44" si="0">B37/B$45</f>
        <v>0.22475432539271942</v>
      </c>
      <c r="D37" s="262">
        <f>'CBS (CoE)'!N6</f>
        <v>2.3747241561443286</v>
      </c>
      <c r="E37" s="272">
        <f t="shared" ref="E37:E44" si="1">D37/D$45</f>
        <v>9.5156109833516037E-2</v>
      </c>
      <c r="F37" s="259">
        <f>'CBS (CoE)'!P6</f>
        <v>1.1687841624393867</v>
      </c>
      <c r="G37" s="272">
        <f t="shared" ref="G37:G44" si="2">F37/F$45</f>
        <v>5.1607844100086515E-2</v>
      </c>
    </row>
    <row r="38" spans="1:7" s="293" customFormat="1" x14ac:dyDescent="0.35">
      <c r="A38" s="260" t="s">
        <v>10</v>
      </c>
      <c r="B38" s="262">
        <f>'CBS (CoE)'!L14</f>
        <v>6.4139437700730451</v>
      </c>
      <c r="C38" s="272">
        <f t="shared" si="0"/>
        <v>0.13469568040906169</v>
      </c>
      <c r="D38" s="262">
        <f>'CBS (CoE)'!N14</f>
        <v>1.9970328627313854</v>
      </c>
      <c r="E38" s="272">
        <f t="shared" si="1"/>
        <v>8.0021874513521052E-2</v>
      </c>
      <c r="F38" s="259">
        <f>'CBS (CoE)'!P14</f>
        <v>2.2844725650198443</v>
      </c>
      <c r="G38" s="272">
        <f t="shared" si="2"/>
        <v>0.10087123677343893</v>
      </c>
    </row>
    <row r="39" spans="1:7" s="293" customFormat="1" x14ac:dyDescent="0.35">
      <c r="A39" s="260" t="s">
        <v>18</v>
      </c>
      <c r="B39" s="262">
        <f>'CBS (CoE)'!L20</f>
        <v>0.94093508809353976</v>
      </c>
      <c r="C39" s="272">
        <f t="shared" si="0"/>
        <v>1.976005659776409E-2</v>
      </c>
      <c r="D39" s="262">
        <f>'CBS (CoE)'!N20</f>
        <v>0.79502234788997883</v>
      </c>
      <c r="E39" s="272">
        <f t="shared" si="1"/>
        <v>3.1856851104234425E-2</v>
      </c>
      <c r="F39" s="259">
        <f>'CBS (CoE)'!P20</f>
        <v>0.73937078353768038</v>
      </c>
      <c r="G39" s="272">
        <f t="shared" si="2"/>
        <v>3.2647030440019563E-2</v>
      </c>
    </row>
    <row r="40" spans="1:7" s="293" customFormat="1" x14ac:dyDescent="0.35">
      <c r="A40" s="260" t="s">
        <v>27</v>
      </c>
      <c r="B40" s="262">
        <f>'CBS (CoE)'!L26</f>
        <v>2.731821054829314</v>
      </c>
      <c r="C40" s="272">
        <f t="shared" si="0"/>
        <v>5.736946080708228E-2</v>
      </c>
      <c r="D40" s="262">
        <f>'CBS (CoE)'!N26</f>
        <v>2.4042328742988603</v>
      </c>
      <c r="E40" s="272">
        <f t="shared" si="1"/>
        <v>9.6338535513776066E-2</v>
      </c>
      <c r="F40" s="259">
        <f>'CBS (CoE)'!P26</f>
        <v>2.3296018266046299</v>
      </c>
      <c r="G40" s="272">
        <f t="shared" si="2"/>
        <v>0.10286392624602615</v>
      </c>
    </row>
    <row r="41" spans="1:7" s="293" customFormat="1" x14ac:dyDescent="0.35">
      <c r="A41" s="260" t="s">
        <v>32</v>
      </c>
      <c r="B41" s="262">
        <f>'CBS (CoE)'!L31</f>
        <v>6.6908972603925196</v>
      </c>
      <c r="C41" s="272">
        <f t="shared" si="0"/>
        <v>0.1405118272537387</v>
      </c>
      <c r="D41" s="262">
        <f>'CBS (CoE)'!N31</f>
        <v>5.8446636053953576</v>
      </c>
      <c r="E41" s="272">
        <f t="shared" si="1"/>
        <v>0.23419791748694915</v>
      </c>
      <c r="F41" s="259">
        <f>'CBS (CoE)'!P31</f>
        <v>5.5542949921056879</v>
      </c>
      <c r="G41" s="272">
        <f t="shared" si="2"/>
        <v>0.24525074795693688</v>
      </c>
    </row>
    <row r="42" spans="1:7" s="293" customFormat="1" x14ac:dyDescent="0.35">
      <c r="A42" s="260" t="s">
        <v>72</v>
      </c>
      <c r="B42" s="262">
        <f>'CBS (CoE)'!L45</f>
        <v>1.8845436630443664</v>
      </c>
      <c r="C42" s="272">
        <f t="shared" si="0"/>
        <v>3.9576257612164191E-2</v>
      </c>
      <c r="D42" s="262">
        <f>'CBS (CoE)'!N45</f>
        <v>1.6497792959388438</v>
      </c>
      <c r="E42" s="272">
        <f t="shared" si="1"/>
        <v>6.6107290600145044E-2</v>
      </c>
      <c r="F42" s="259">
        <f>'CBS (CoE)'!P45</f>
        <v>1.5767793637420637</v>
      </c>
      <c r="G42" s="272">
        <f t="shared" si="2"/>
        <v>6.9622934840592621E-2</v>
      </c>
    </row>
    <row r="43" spans="1:7" s="293" customFormat="1" x14ac:dyDescent="0.35">
      <c r="A43" s="260" t="s">
        <v>47</v>
      </c>
      <c r="B43" s="262">
        <f>'CBS (CoE)'!L46</f>
        <v>13.924623299685598</v>
      </c>
      <c r="C43" s="272">
        <f t="shared" si="0"/>
        <v>0.29242330101837882</v>
      </c>
      <c r="D43" s="262">
        <f>'CBS (CoE)'!N46</f>
        <v>7.6218966811096909</v>
      </c>
      <c r="E43" s="272">
        <f t="shared" si="1"/>
        <v>0.30541233003876739</v>
      </c>
      <c r="F43" s="259">
        <f>'CBS (CoE)'!P46</f>
        <v>6.9352536332710759</v>
      </c>
      <c r="G43" s="272">
        <f t="shared" si="2"/>
        <v>0.30622718873380844</v>
      </c>
    </row>
    <row r="44" spans="1:7" s="293" customFormat="1" x14ac:dyDescent="0.35">
      <c r="A44" s="260" t="s">
        <v>138</v>
      </c>
      <c r="B44" s="262">
        <f>'CBS (CoE)'!L54</f>
        <v>4.3289123712696327</v>
      </c>
      <c r="C44" s="272">
        <f t="shared" si="0"/>
        <v>9.0909090909090939E-2</v>
      </c>
      <c r="D44" s="262">
        <f>'CBS (CoE)'!N54</f>
        <v>2.2687351823508446</v>
      </c>
      <c r="E44" s="272">
        <f t="shared" si="1"/>
        <v>9.0909090909090912E-2</v>
      </c>
      <c r="F44" s="259">
        <f>'CBS (CoE)'!P54</f>
        <v>2.0588557326720371</v>
      </c>
      <c r="G44" s="272">
        <f t="shared" si="2"/>
        <v>9.0909090909090925E-2</v>
      </c>
    </row>
    <row r="45" spans="1:7" s="293" customFormat="1" x14ac:dyDescent="0.35">
      <c r="A45" s="260" t="s">
        <v>81</v>
      </c>
      <c r="B45" s="262">
        <f>SUM(B37:B44)</f>
        <v>47.618036083965947</v>
      </c>
      <c r="C45" s="258"/>
      <c r="D45" s="262">
        <f>SUM(D37:D44)</f>
        <v>24.956087005859288</v>
      </c>
      <c r="E45" s="258"/>
      <c r="F45" s="262">
        <f>SUM(F37:F44)</f>
        <v>22.647413059392406</v>
      </c>
      <c r="G45" s="258"/>
    </row>
    <row r="46" spans="1:7" s="293" customFormat="1" x14ac:dyDescent="0.35">
      <c r="A46" s="243"/>
      <c r="B46" s="301"/>
      <c r="C46" s="301"/>
      <c r="D46" s="301"/>
      <c r="E46" s="301"/>
    </row>
    <row r="47" spans="1:7" x14ac:dyDescent="0.35">
      <c r="A47" t="s">
        <v>214</v>
      </c>
      <c r="B47">
        <v>0</v>
      </c>
      <c r="C47" t="s">
        <v>215</v>
      </c>
    </row>
    <row r="48" spans="1:7" x14ac:dyDescent="0.35">
      <c r="A48" t="s">
        <v>213</v>
      </c>
      <c r="B48">
        <v>1000</v>
      </c>
    </row>
    <row r="49" spans="1:5" x14ac:dyDescent="0.35">
      <c r="A49" s="278" t="str">
        <f>IF(B48=1,"Annual Cost ($)",IF(B48=1000,"Annual Cost in Thousands ($)",IF(B48=1000000,"Annual Cost in Millions ($)","CostBasisnotspecified")))</f>
        <v>Annual Cost in Thousands ($)</v>
      </c>
    </row>
    <row r="50" spans="1:5" x14ac:dyDescent="0.35">
      <c r="A50" s="889"/>
      <c r="B50" s="318" t="s">
        <v>96</v>
      </c>
      <c r="C50" s="319" t="s">
        <v>86</v>
      </c>
      <c r="D50" s="320" t="s">
        <v>87</v>
      </c>
      <c r="E50" s="318" t="s">
        <v>88</v>
      </c>
    </row>
    <row r="51" spans="1:5" x14ac:dyDescent="0.35">
      <c r="A51" s="890"/>
      <c r="B51" s="318" t="s">
        <v>221</v>
      </c>
      <c r="C51" s="318" t="s">
        <v>221</v>
      </c>
      <c r="D51" s="318" t="s">
        <v>221</v>
      </c>
      <c r="E51" s="318" t="s">
        <v>221</v>
      </c>
    </row>
    <row r="52" spans="1:5" x14ac:dyDescent="0.35">
      <c r="A52" s="266" t="s">
        <v>52</v>
      </c>
      <c r="B52" s="267">
        <f>ROUND('CBS (Total)'!J57/B48,-B47)</f>
        <v>167</v>
      </c>
      <c r="C52" s="267">
        <f>ROUND('CBS (Total)'!L57/B48,-B47)</f>
        <v>494</v>
      </c>
      <c r="D52" s="267">
        <f>ROUND('CBS (Total)'!N57/B48,-B47)</f>
        <v>770</v>
      </c>
      <c r="E52" s="267">
        <f>ROUND('CBS (Total)'!P57/B48,-B47)</f>
        <v>736</v>
      </c>
    </row>
    <row r="53" spans="1:5" x14ac:dyDescent="0.35">
      <c r="A53" s="266" t="s">
        <v>220</v>
      </c>
      <c r="B53" s="267">
        <f>ROUND('CBS (Total)'!J58/B48,-B47)</f>
        <v>710</v>
      </c>
      <c r="C53" s="267">
        <f>ROUND('CBS (Total)'!L58/B48,-B47)</f>
        <v>1121</v>
      </c>
      <c r="D53" s="267">
        <f>ROUND('CBS (Total)'!N58/B48,-B47)</f>
        <v>1121</v>
      </c>
      <c r="E53" s="267">
        <f>ROUND('CBS (Total)'!P58/B48,-B47)</f>
        <v>1121</v>
      </c>
    </row>
    <row r="54" spans="1:5" x14ac:dyDescent="0.35">
      <c r="A54" s="266" t="s">
        <v>54</v>
      </c>
      <c r="B54" s="267">
        <f>ROUND('CBS (Total)'!J59/B48,-B47)</f>
        <v>27</v>
      </c>
      <c r="C54" s="267">
        <f>ROUND('CBS (Total)'!L59/B48,-B47)</f>
        <v>266</v>
      </c>
      <c r="D54" s="267">
        <f>ROUND('CBS (Total)'!N59/B48,-B47)</f>
        <v>562</v>
      </c>
      <c r="E54" s="267">
        <f>ROUND('CBS (Total)'!P59/B48,-B47)</f>
        <v>1125</v>
      </c>
    </row>
    <row r="55" spans="1:5" x14ac:dyDescent="0.35">
      <c r="A55" s="266" t="s">
        <v>55</v>
      </c>
      <c r="B55" s="267">
        <f>ROUND('CBS (Total)'!J60/B48,-B47)</f>
        <v>142</v>
      </c>
      <c r="C55" s="267">
        <f>ROUND('CBS (Total)'!L60/B48,-B47)</f>
        <v>400</v>
      </c>
      <c r="D55" s="267">
        <f>ROUND('CBS (Total)'!N60/B48,-B47)</f>
        <v>455</v>
      </c>
      <c r="E55" s="267">
        <f>ROUND('CBS (Total)'!P60/B48,-B47)</f>
        <v>675</v>
      </c>
    </row>
    <row r="56" spans="1:5" x14ac:dyDescent="0.35">
      <c r="A56" s="266" t="s">
        <v>56</v>
      </c>
      <c r="B56" s="267">
        <f>ROUND('CBS (Total)'!J61/B48,-B47)</f>
        <v>51</v>
      </c>
      <c r="C56" s="267">
        <f>ROUND('CBS (Total)'!L61/B48,-B47)</f>
        <v>463</v>
      </c>
      <c r="D56" s="267">
        <f>ROUND('CBS (Total)'!N61/B48,-B47)</f>
        <v>2171</v>
      </c>
      <c r="E56" s="267">
        <f>ROUND('CBS (Total)'!P61/B48,-B47)</f>
        <v>3921</v>
      </c>
    </row>
    <row r="57" spans="1:5" x14ac:dyDescent="0.35">
      <c r="A57" s="266" t="s">
        <v>57</v>
      </c>
      <c r="B57" s="267">
        <f>ROUND('CBS (Total)'!J62/B48,-B47)</f>
        <v>8</v>
      </c>
      <c r="C57" s="267">
        <f>ROUND('CBS (Total)'!L62/B48,-B47)</f>
        <v>80</v>
      </c>
      <c r="D57" s="267">
        <f>ROUND('CBS (Total)'!N62/B48,-B47)</f>
        <v>400</v>
      </c>
      <c r="E57" s="267">
        <f>ROUND('CBS (Total)'!P62/B48,-B47)</f>
        <v>800</v>
      </c>
    </row>
    <row r="58" spans="1:5" x14ac:dyDescent="0.35">
      <c r="A58" s="266" t="s">
        <v>81</v>
      </c>
      <c r="B58" s="267">
        <f>SUM(B52:B57)</f>
        <v>1105</v>
      </c>
      <c r="C58" s="267">
        <f t="shared" ref="C58:E58" si="3">SUM(C52:C57)</f>
        <v>2824</v>
      </c>
      <c r="D58" s="267">
        <f t="shared" si="3"/>
        <v>5479</v>
      </c>
      <c r="E58" s="267">
        <f t="shared" si="3"/>
        <v>8378</v>
      </c>
    </row>
    <row r="60" spans="1:5" x14ac:dyDescent="0.35">
      <c r="A60" t="s">
        <v>214</v>
      </c>
      <c r="B60">
        <v>1</v>
      </c>
      <c r="C60" t="s">
        <v>215</v>
      </c>
    </row>
    <row r="62" spans="1:5" x14ac:dyDescent="0.35">
      <c r="A62" t="s">
        <v>224</v>
      </c>
    </row>
    <row r="63" spans="1:5" x14ac:dyDescent="0.35">
      <c r="A63" s="889"/>
      <c r="B63" s="318" t="s">
        <v>96</v>
      </c>
      <c r="C63" s="319" t="s">
        <v>86</v>
      </c>
      <c r="D63" s="320" t="s">
        <v>87</v>
      </c>
      <c r="E63" s="318" t="s">
        <v>88</v>
      </c>
    </row>
    <row r="64" spans="1:5" x14ac:dyDescent="0.35">
      <c r="A64" s="890"/>
      <c r="B64" s="318" t="s">
        <v>219</v>
      </c>
      <c r="C64" s="318" t="s">
        <v>219</v>
      </c>
      <c r="D64" s="318" t="s">
        <v>219</v>
      </c>
      <c r="E64" s="318" t="s">
        <v>219</v>
      </c>
    </row>
    <row r="65" spans="1:7" x14ac:dyDescent="0.35">
      <c r="A65" s="268" t="s">
        <v>52</v>
      </c>
      <c r="B65" s="269">
        <f>ROUND('CBS ($ per kW)'!J59,-B60)</f>
        <v>500</v>
      </c>
      <c r="C65" s="269">
        <f>ROUND('CBS ($ per kW)'!L59,-B60)</f>
        <v>150</v>
      </c>
      <c r="D65" s="269">
        <f>ROUND('CBS ($ per kW)'!N59,-B60)</f>
        <v>50</v>
      </c>
      <c r="E65" s="269">
        <f>ROUND('CBS ($ per kW)'!P59,-B60)</f>
        <v>20</v>
      </c>
    </row>
    <row r="66" spans="1:7" x14ac:dyDescent="0.35">
      <c r="A66" s="268" t="s">
        <v>220</v>
      </c>
      <c r="B66" s="269">
        <f>ROUND('CBS ($ per kW)'!J60,-B60)</f>
        <v>2140</v>
      </c>
      <c r="C66" s="269">
        <f>ROUND('CBS ($ per kW)'!L60,-B60)</f>
        <v>340</v>
      </c>
      <c r="D66" s="269">
        <f>ROUND('CBS ($ per kW)'!N60,-B60)</f>
        <v>70</v>
      </c>
      <c r="E66" s="269">
        <f>ROUND('CBS ($ per kW)'!P60,-B60)</f>
        <v>30</v>
      </c>
    </row>
    <row r="67" spans="1:7" x14ac:dyDescent="0.35">
      <c r="A67" s="268" t="s">
        <v>54</v>
      </c>
      <c r="B67" s="269">
        <f>ROUND('CBS ($ per kW)'!J61,-B60)</f>
        <v>80</v>
      </c>
      <c r="C67" s="269">
        <f>ROUND('CBS ($ per kW)'!L61,-B60)</f>
        <v>80</v>
      </c>
      <c r="D67" s="269">
        <f>ROUND('CBS ($ per kW)'!N61,-B60)</f>
        <v>30</v>
      </c>
      <c r="E67" s="269">
        <f>ROUND('CBS ($ per kW)'!P61,-B60)</f>
        <v>30</v>
      </c>
    </row>
    <row r="68" spans="1:7" x14ac:dyDescent="0.35">
      <c r="A68" s="268" t="s">
        <v>55</v>
      </c>
      <c r="B68" s="269">
        <f>ROUND('CBS ($ per kW)'!J62,-B60)</f>
        <v>430</v>
      </c>
      <c r="C68" s="269">
        <f>ROUND('CBS ($ per kW)'!L62,-B60)</f>
        <v>120</v>
      </c>
      <c r="D68" s="269">
        <f>ROUND('CBS ($ per kW)'!N62,-B60)</f>
        <v>30</v>
      </c>
      <c r="E68" s="269">
        <f>ROUND('CBS ($ per kW)'!P62,-B60)</f>
        <v>20</v>
      </c>
    </row>
    <row r="69" spans="1:7" x14ac:dyDescent="0.35">
      <c r="A69" s="268" t="s">
        <v>56</v>
      </c>
      <c r="B69" s="269">
        <f>ROUND('CBS ($ per kW)'!J63,-B60)</f>
        <v>150</v>
      </c>
      <c r="C69" s="269">
        <f>ROUND('CBS ($ per kW)'!L63,-B60)</f>
        <v>140</v>
      </c>
      <c r="D69" s="269">
        <f>ROUND('CBS ($ per kW)'!N63,-B60)</f>
        <v>130</v>
      </c>
      <c r="E69" s="269">
        <f>ROUND('CBS ($ per kW)'!P63,-B60)</f>
        <v>120</v>
      </c>
    </row>
    <row r="70" spans="1:7" x14ac:dyDescent="0.35">
      <c r="A70" s="268" t="s">
        <v>57</v>
      </c>
      <c r="B70" s="269">
        <f>ROUND('CBS ($ per kW)'!J64,-B60)</f>
        <v>20</v>
      </c>
      <c r="C70" s="269">
        <f>ROUND('CBS ($ per kW)'!L64,-B60)</f>
        <v>20</v>
      </c>
      <c r="D70" s="269">
        <f>ROUND('CBS ($ per kW)'!N64,-B60)</f>
        <v>20</v>
      </c>
      <c r="E70" s="269">
        <f>ROUND('CBS ($ per kW)'!P64,-B60)</f>
        <v>20</v>
      </c>
    </row>
    <row r="71" spans="1:7" x14ac:dyDescent="0.35">
      <c r="A71" s="268" t="s">
        <v>81</v>
      </c>
      <c r="B71" s="269">
        <f>SUM(B65:B70)</f>
        <v>3320</v>
      </c>
      <c r="C71" s="269">
        <f t="shared" ref="C71:E71" si="4">SUM(C65:C70)</f>
        <v>850</v>
      </c>
      <c r="D71" s="269">
        <f t="shared" si="4"/>
        <v>330</v>
      </c>
      <c r="E71" s="269">
        <f t="shared" si="4"/>
        <v>240</v>
      </c>
    </row>
    <row r="73" spans="1:7" x14ac:dyDescent="0.35">
      <c r="A73" s="279"/>
    </row>
    <row r="76" spans="1:7" x14ac:dyDescent="0.35">
      <c r="A76" t="s">
        <v>224</v>
      </c>
    </row>
    <row r="77" spans="1:7" x14ac:dyDescent="0.35">
      <c r="A77" s="887"/>
      <c r="B77" s="885" t="s">
        <v>86</v>
      </c>
      <c r="C77" s="886"/>
      <c r="D77" s="885" t="s">
        <v>87</v>
      </c>
      <c r="E77" s="886"/>
      <c r="F77" s="885" t="s">
        <v>88</v>
      </c>
      <c r="G77" s="886"/>
    </row>
    <row r="78" spans="1:7" x14ac:dyDescent="0.35">
      <c r="A78" s="888"/>
      <c r="B78" s="277" t="s">
        <v>217</v>
      </c>
      <c r="C78" s="277" t="s">
        <v>218</v>
      </c>
      <c r="D78" s="277" t="s">
        <v>217</v>
      </c>
      <c r="E78" s="277" t="s">
        <v>218</v>
      </c>
      <c r="F78" s="277" t="s">
        <v>217</v>
      </c>
      <c r="G78" s="277" t="s">
        <v>218</v>
      </c>
    </row>
    <row r="79" spans="1:7" x14ac:dyDescent="0.35">
      <c r="A79" s="273" t="s">
        <v>52</v>
      </c>
      <c r="B79" s="274">
        <f>'CBS (CoE)'!L59</f>
        <v>6.0345859511330335</v>
      </c>
      <c r="C79" s="272">
        <f t="shared" ref="C79:C84" si="5">B79/B$85</f>
        <v>0.17492066652862007</v>
      </c>
      <c r="D79" s="274">
        <f>'CBS (CoE)'!N59</f>
        <v>1.8807988580892701</v>
      </c>
      <c r="E79" s="272">
        <f t="shared" ref="E79:E84" si="6">D79/D$85</f>
        <v>0.140463183877099</v>
      </c>
      <c r="F79" s="274">
        <f>'CBS (CoE)'!P59</f>
        <v>0.89906357242041568</v>
      </c>
      <c r="G79" s="272">
        <f t="shared" ref="G79:G84" si="7">F79/F$85</f>
        <v>8.7829910989522877E-2</v>
      </c>
    </row>
    <row r="80" spans="1:7" x14ac:dyDescent="0.35">
      <c r="A80" s="273" t="s">
        <v>220</v>
      </c>
      <c r="B80" s="274">
        <f>'CBS (CoE)'!L60</f>
        <v>13.698428147865958</v>
      </c>
      <c r="C80" s="272">
        <f t="shared" si="5"/>
        <v>0.39706753726313782</v>
      </c>
      <c r="D80" s="274">
        <f>'CBS (CoE)'!N60</f>
        <v>2.7396856295731915</v>
      </c>
      <c r="E80" s="272">
        <f t="shared" si="6"/>
        <v>0.20460718842797149</v>
      </c>
      <c r="F80" s="274">
        <f>'CBS (CoE)'!P60</f>
        <v>1.3698428147865958</v>
      </c>
      <c r="G80" s="272">
        <f t="shared" si="7"/>
        <v>0.13382053970715646</v>
      </c>
    </row>
    <row r="81" spans="1:7" x14ac:dyDescent="0.35">
      <c r="A81" s="273" t="s">
        <v>54</v>
      </c>
      <c r="B81" s="274">
        <f>'CBS (CoE)'!L61</f>
        <v>3.2466863288193637</v>
      </c>
      <c r="C81" s="272">
        <f t="shared" si="5"/>
        <v>9.4109611039645935E-2</v>
      </c>
      <c r="D81" s="274">
        <f>'CBS (CoE)'!N61</f>
        <v>1.3742908324902738</v>
      </c>
      <c r="E81" s="272">
        <f t="shared" si="6"/>
        <v>0.10263578429689288</v>
      </c>
      <c r="F81" s="274">
        <f>'CBS (CoE)'!P61</f>
        <v>1.3742908324902738</v>
      </c>
      <c r="G81" s="272">
        <f t="shared" si="7"/>
        <v>0.13425506848907798</v>
      </c>
    </row>
    <row r="82" spans="1:7" x14ac:dyDescent="0.35">
      <c r="A82" s="273" t="s">
        <v>55</v>
      </c>
      <c r="B82" s="274">
        <f>'CBS (CoE)'!L62</f>
        <v>4.8871494734566632</v>
      </c>
      <c r="C82" s="272">
        <f t="shared" si="5"/>
        <v>0.14166066242896547</v>
      </c>
      <c r="D82" s="274">
        <f>'CBS (CoE)'!N62</f>
        <v>1.1112516844619926</v>
      </c>
      <c r="E82" s="272">
        <f t="shared" si="6"/>
        <v>8.2991303943524733E-2</v>
      </c>
      <c r="F82" s="274">
        <f>'CBS (CoE)'!P62</f>
        <v>0.82439120206132055</v>
      </c>
      <c r="G82" s="272">
        <f t="shared" si="7"/>
        <v>8.0535134687598389E-2</v>
      </c>
    </row>
    <row r="83" spans="1:7" x14ac:dyDescent="0.35">
      <c r="A83" s="273" t="s">
        <v>56</v>
      </c>
      <c r="B83" s="274">
        <f>'CBS (CoE)'!L63</f>
        <v>5.6545516507906095</v>
      </c>
      <c r="C83" s="272">
        <f t="shared" si="5"/>
        <v>0.16390485638722116</v>
      </c>
      <c r="D83" s="274">
        <f>'CBS (CoE)'!N63</f>
        <v>5.3063640900375093</v>
      </c>
      <c r="E83" s="272">
        <f t="shared" si="6"/>
        <v>0.39629373002437057</v>
      </c>
      <c r="F83" s="274">
        <f>'CBS (CoE)'!P63</f>
        <v>4.7912420244800291</v>
      </c>
      <c r="G83" s="272">
        <f t="shared" si="7"/>
        <v>0.46805851493509648</v>
      </c>
    </row>
    <row r="84" spans="1:7" x14ac:dyDescent="0.35">
      <c r="A84" s="273" t="s">
        <v>57</v>
      </c>
      <c r="B84" s="274">
        <f>'CBS (CoE)'!L64</f>
        <v>0.97758630850069284</v>
      </c>
      <c r="C84" s="272">
        <f t="shared" si="5"/>
        <v>2.833666635240948E-2</v>
      </c>
      <c r="D84" s="274">
        <f>'CBS (CoE)'!N64</f>
        <v>0.97758630850069284</v>
      </c>
      <c r="E84" s="272">
        <f t="shared" si="6"/>
        <v>7.3008809430141486E-2</v>
      </c>
      <c r="F84" s="274">
        <f>'CBS (CoE)'!P64</f>
        <v>0.97758630850069284</v>
      </c>
      <c r="G84" s="272">
        <f t="shared" si="7"/>
        <v>9.5500831191547883E-2</v>
      </c>
    </row>
    <row r="85" spans="1:7" x14ac:dyDescent="0.35">
      <c r="A85" s="273" t="s">
        <v>81</v>
      </c>
      <c r="B85" s="274">
        <f>SUM(B79:B84)</f>
        <v>34.498987860566324</v>
      </c>
      <c r="C85" s="271"/>
      <c r="D85" s="274">
        <f>SUM(D79:D84)</f>
        <v>13.389977403152928</v>
      </c>
      <c r="E85" s="275"/>
      <c r="F85" s="274">
        <f>SUM(F79:F84)</f>
        <v>10.236416754739327</v>
      </c>
      <c r="G85" s="276"/>
    </row>
    <row r="89" spans="1:7" x14ac:dyDescent="0.35">
      <c r="A89" t="s">
        <v>225</v>
      </c>
    </row>
    <row r="90" spans="1:7" x14ac:dyDescent="0.35">
      <c r="A90" s="302"/>
      <c r="B90" s="885" t="s">
        <v>86</v>
      </c>
      <c r="C90" s="886"/>
      <c r="D90" s="885" t="s">
        <v>87</v>
      </c>
      <c r="E90" s="886"/>
      <c r="F90" s="885" t="s">
        <v>88</v>
      </c>
      <c r="G90" s="886"/>
    </row>
    <row r="91" spans="1:7" x14ac:dyDescent="0.35">
      <c r="A91" s="286"/>
      <c r="B91" s="287" t="s">
        <v>217</v>
      </c>
      <c r="C91" s="287" t="s">
        <v>218</v>
      </c>
      <c r="D91" s="287" t="s">
        <v>217</v>
      </c>
      <c r="E91" s="287" t="s">
        <v>218</v>
      </c>
      <c r="F91" s="287" t="s">
        <v>217</v>
      </c>
      <c r="G91" s="287" t="s">
        <v>218</v>
      </c>
    </row>
    <row r="92" spans="1:7" x14ac:dyDescent="0.35">
      <c r="A92" s="282" t="s">
        <v>222</v>
      </c>
      <c r="B92" s="283">
        <f>B39+B40+B41+B42</f>
        <v>12.24819706635974</v>
      </c>
      <c r="C92" s="281">
        <f t="shared" ref="C92:C97" si="8">B92/B$98</f>
        <v>0.14915539407069905</v>
      </c>
      <c r="D92" s="283">
        <f>D39+D40+D41+D42</f>
        <v>10.69369812352304</v>
      </c>
      <c r="E92" s="281">
        <f t="shared" ref="E92:E97" si="9">D92/D$98</f>
        <v>0.278873419954142</v>
      </c>
      <c r="F92" s="283">
        <f>F39+F40+F41+F42</f>
        <v>10.200046965990063</v>
      </c>
      <c r="G92" s="281">
        <f t="shared" ref="G92:G97" si="10">F92/F$98</f>
        <v>0.31018427669901827</v>
      </c>
    </row>
    <row r="93" spans="1:7" x14ac:dyDescent="0.35">
      <c r="A93" s="282" t="s">
        <v>10</v>
      </c>
      <c r="B93" s="283">
        <f>B38</f>
        <v>6.4139437700730451</v>
      </c>
      <c r="C93" s="281">
        <f t="shared" si="8"/>
        <v>7.8107357792282922E-2</v>
      </c>
      <c r="D93" s="283">
        <f>D38</f>
        <v>1.9970328627313854</v>
      </c>
      <c r="E93" s="281">
        <f t="shared" si="9"/>
        <v>5.2079213173752359E-2</v>
      </c>
      <c r="F93" s="283">
        <f>F38</f>
        <v>2.2844725650198443</v>
      </c>
      <c r="G93" s="281">
        <f t="shared" si="10"/>
        <v>6.94710007299119E-2</v>
      </c>
    </row>
    <row r="94" spans="1:7" x14ac:dyDescent="0.35">
      <c r="A94" s="282" t="s">
        <v>98</v>
      </c>
      <c r="B94" s="283">
        <f>B37</f>
        <v>10.702359576577937</v>
      </c>
      <c r="C94" s="281">
        <f t="shared" si="8"/>
        <v>0.13033058265490818</v>
      </c>
      <c r="D94" s="283">
        <f>D37</f>
        <v>2.3747241561443286</v>
      </c>
      <c r="E94" s="281">
        <f t="shared" si="9"/>
        <v>6.1928758341787307E-2</v>
      </c>
      <c r="F94" s="283">
        <f>F37</f>
        <v>1.1687841624393867</v>
      </c>
      <c r="G94" s="281">
        <f t="shared" si="10"/>
        <v>3.5542823601924407E-2</v>
      </c>
    </row>
    <row r="95" spans="1:7" x14ac:dyDescent="0.35">
      <c r="A95" s="282" t="s">
        <v>47</v>
      </c>
      <c r="B95" s="283">
        <f>B43</f>
        <v>13.924623299685598</v>
      </c>
      <c r="C95" s="281">
        <f t="shared" si="8"/>
        <v>0.16957048162255964</v>
      </c>
      <c r="D95" s="283">
        <f>D43</f>
        <v>7.6218966811096909</v>
      </c>
      <c r="E95" s="281">
        <f t="shared" si="9"/>
        <v>0.19876607413506478</v>
      </c>
      <c r="F95" s="283">
        <f>F43</f>
        <v>6.9352536332710759</v>
      </c>
      <c r="G95" s="281">
        <f t="shared" si="10"/>
        <v>0.21090163987804944</v>
      </c>
    </row>
    <row r="96" spans="1:7" x14ac:dyDescent="0.35">
      <c r="A96" s="282" t="s">
        <v>138</v>
      </c>
      <c r="B96" s="283">
        <f>B44</f>
        <v>4.3289123712696327</v>
      </c>
      <c r="C96" s="281">
        <f t="shared" si="8"/>
        <v>5.2716381614044988E-2</v>
      </c>
      <c r="D96" s="283">
        <f>D44</f>
        <v>2.2687351823508446</v>
      </c>
      <c r="E96" s="281">
        <f t="shared" si="9"/>
        <v>5.9164746560474643E-2</v>
      </c>
      <c r="F96" s="283">
        <f>F44</f>
        <v>2.0588557326720371</v>
      </c>
      <c r="G96" s="281">
        <f t="shared" si="10"/>
        <v>6.2609974090890405E-2</v>
      </c>
    </row>
    <row r="97" spans="1:8" x14ac:dyDescent="0.35">
      <c r="A97" s="282" t="s">
        <v>223</v>
      </c>
      <c r="B97" s="283">
        <f>B85</f>
        <v>34.498987860566324</v>
      </c>
      <c r="C97" s="281">
        <f t="shared" si="8"/>
        <v>0.42011980224550538</v>
      </c>
      <c r="D97" s="283">
        <f>D85</f>
        <v>13.389977403152928</v>
      </c>
      <c r="E97" s="281">
        <f t="shared" si="9"/>
        <v>0.349187787834779</v>
      </c>
      <c r="F97" s="283">
        <f>F85</f>
        <v>10.236416754739327</v>
      </c>
      <c r="G97" s="281">
        <f t="shared" si="10"/>
        <v>0.31129028500020572</v>
      </c>
    </row>
    <row r="98" spans="1:8" x14ac:dyDescent="0.35">
      <c r="A98" s="282" t="s">
        <v>81</v>
      </c>
      <c r="B98" s="283">
        <f>SUM(B92:B97)</f>
        <v>82.117023944532264</v>
      </c>
      <c r="C98" s="280"/>
      <c r="D98" s="283">
        <f>SUM(D92:D97)</f>
        <v>38.346064409012214</v>
      </c>
      <c r="E98" s="284"/>
      <c r="F98" s="283">
        <f>SUM(F92:F97)</f>
        <v>32.88382981413173</v>
      </c>
      <c r="G98" s="285"/>
    </row>
    <row r="100" spans="1:8" x14ac:dyDescent="0.35">
      <c r="A100" s="449"/>
      <c r="B100" s="449"/>
      <c r="C100" s="449"/>
      <c r="D100" s="449"/>
      <c r="E100" s="449"/>
      <c r="F100" s="449"/>
      <c r="G100" s="449"/>
      <c r="H100" s="449"/>
    </row>
    <row r="101" spans="1:8" ht="15" customHeight="1" x14ac:dyDescent="0.35">
      <c r="A101" s="449"/>
      <c r="B101" s="449"/>
      <c r="C101" s="449"/>
      <c r="D101" s="449"/>
      <c r="E101" s="449"/>
      <c r="F101" s="449"/>
      <c r="G101" s="449"/>
      <c r="H101" s="449"/>
    </row>
    <row r="102" spans="1:8" ht="14.25" customHeight="1" x14ac:dyDescent="0.35">
      <c r="A102" s="378"/>
      <c r="B102" s="434"/>
      <c r="C102" s="405"/>
      <c r="D102" s="405"/>
      <c r="E102" s="405"/>
      <c r="F102" s="405"/>
      <c r="G102" s="449"/>
      <c r="H102" s="449"/>
    </row>
    <row r="103" spans="1:8" x14ac:dyDescent="0.35">
      <c r="A103" s="450"/>
      <c r="B103" s="450"/>
      <c r="C103" s="432"/>
      <c r="D103" s="432"/>
      <c r="E103" s="432"/>
      <c r="F103" s="432"/>
      <c r="G103" s="449"/>
      <c r="H103" s="449"/>
    </row>
    <row r="104" spans="1:8" x14ac:dyDescent="0.35">
      <c r="A104" s="450"/>
      <c r="B104" s="450"/>
      <c r="C104" s="432"/>
      <c r="D104" s="432"/>
      <c r="E104" s="432"/>
      <c r="F104" s="432"/>
      <c r="G104" s="449"/>
      <c r="H104" s="449"/>
    </row>
    <row r="105" spans="1:8" x14ac:dyDescent="0.35">
      <c r="A105" s="450"/>
      <c r="B105" s="432"/>
      <c r="C105" s="432"/>
      <c r="D105" s="432"/>
      <c r="E105" s="432"/>
      <c r="F105" s="432"/>
      <c r="G105" s="449"/>
      <c r="H105" s="449"/>
    </row>
    <row r="106" spans="1:8" x14ac:dyDescent="0.35">
      <c r="A106" s="450"/>
      <c r="B106" s="432"/>
      <c r="C106" s="432"/>
      <c r="D106" s="432"/>
      <c r="E106" s="432"/>
      <c r="F106" s="432"/>
      <c r="G106" s="449"/>
      <c r="H106" s="449"/>
    </row>
    <row r="107" spans="1:8" x14ac:dyDescent="0.35">
      <c r="A107" s="450"/>
      <c r="B107" s="432"/>
      <c r="C107" s="432"/>
      <c r="D107" s="432"/>
      <c r="E107" s="432"/>
      <c r="F107" s="432"/>
      <c r="G107" s="449"/>
      <c r="H107" s="449"/>
    </row>
    <row r="108" spans="1:8" x14ac:dyDescent="0.35">
      <c r="A108" s="450"/>
      <c r="B108" s="432"/>
      <c r="C108" s="432"/>
      <c r="D108" s="432"/>
      <c r="E108" s="432"/>
      <c r="F108" s="432"/>
      <c r="G108" s="449"/>
      <c r="H108" s="449"/>
    </row>
    <row r="109" spans="1:8" x14ac:dyDescent="0.35">
      <c r="A109" s="450"/>
      <c r="B109" s="432"/>
      <c r="C109" s="432"/>
      <c r="D109" s="432"/>
      <c r="E109" s="432"/>
      <c r="F109" s="432"/>
      <c r="G109" s="449"/>
      <c r="H109" s="449"/>
    </row>
    <row r="110" spans="1:8" x14ac:dyDescent="0.35">
      <c r="A110" s="450"/>
      <c r="B110" s="432"/>
      <c r="C110" s="432"/>
      <c r="D110" s="432"/>
      <c r="E110" s="432"/>
      <c r="F110" s="432"/>
      <c r="G110" s="449"/>
      <c r="H110" s="449"/>
    </row>
    <row r="111" spans="1:8" x14ac:dyDescent="0.35">
      <c r="A111" s="450"/>
      <c r="B111" s="432"/>
      <c r="C111" s="432"/>
      <c r="D111" s="432"/>
      <c r="E111" s="432"/>
      <c r="F111" s="432"/>
      <c r="G111" s="449"/>
      <c r="H111" s="449"/>
    </row>
    <row r="112" spans="1:8" x14ac:dyDescent="0.35">
      <c r="A112" s="450"/>
      <c r="B112" s="432"/>
      <c r="C112" s="432"/>
      <c r="D112" s="432"/>
      <c r="E112" s="432"/>
      <c r="F112" s="432"/>
      <c r="G112" s="449"/>
      <c r="H112" s="449"/>
    </row>
    <row r="113" spans="1:8" x14ac:dyDescent="0.35">
      <c r="A113" s="450"/>
      <c r="B113" s="450"/>
      <c r="C113" s="432"/>
      <c r="D113" s="432"/>
      <c r="E113" s="432"/>
      <c r="F113" s="432"/>
      <c r="G113" s="449"/>
      <c r="H113" s="449"/>
    </row>
    <row r="114" spans="1:8" x14ac:dyDescent="0.35">
      <c r="A114" s="450"/>
      <c r="B114" s="413"/>
      <c r="C114" s="432"/>
      <c r="D114" s="432"/>
      <c r="E114" s="432"/>
      <c r="F114" s="432"/>
      <c r="G114" s="449"/>
      <c r="H114" s="449"/>
    </row>
    <row r="115" spans="1:8" x14ac:dyDescent="0.35">
      <c r="A115" s="450"/>
      <c r="B115" s="450"/>
      <c r="C115" s="450"/>
      <c r="D115" s="450"/>
      <c r="E115" s="450"/>
      <c r="F115" s="450"/>
      <c r="G115" s="449"/>
      <c r="H115" s="449"/>
    </row>
    <row r="116" spans="1:8" x14ac:dyDescent="0.35">
      <c r="A116" s="376"/>
      <c r="B116" s="376"/>
      <c r="C116" s="431"/>
      <c r="D116" s="431"/>
      <c r="E116" s="431"/>
      <c r="F116" s="431"/>
      <c r="G116" s="449"/>
      <c r="H116" s="449"/>
    </row>
    <row r="117" spans="1:8" x14ac:dyDescent="0.35">
      <c r="A117" s="449"/>
      <c r="B117" s="449"/>
      <c r="C117" s="449"/>
      <c r="D117" s="449"/>
      <c r="E117" s="449"/>
      <c r="F117" s="449"/>
      <c r="G117" s="449"/>
      <c r="H117" s="449"/>
    </row>
    <row r="118" spans="1:8" x14ac:dyDescent="0.35">
      <c r="A118" s="449"/>
      <c r="B118" s="449"/>
      <c r="C118" s="449"/>
      <c r="D118" s="449"/>
      <c r="E118" s="449"/>
      <c r="F118" s="449"/>
      <c r="G118" s="449"/>
      <c r="H118" s="449"/>
    </row>
    <row r="119" spans="1:8" x14ac:dyDescent="0.35">
      <c r="A119" s="450"/>
      <c r="B119" s="447"/>
      <c r="C119" s="449"/>
      <c r="D119" s="449"/>
      <c r="E119" s="449"/>
      <c r="F119" s="449"/>
      <c r="G119" s="449"/>
      <c r="H119" s="449"/>
    </row>
    <row r="120" spans="1:8" x14ac:dyDescent="0.35">
      <c r="A120" s="450"/>
      <c r="B120" s="364"/>
      <c r="C120" s="449"/>
      <c r="D120" s="449"/>
      <c r="E120" s="449"/>
      <c r="F120" s="449"/>
      <c r="G120" s="449"/>
      <c r="H120" s="449"/>
    </row>
    <row r="121" spans="1:8" x14ac:dyDescent="0.35">
      <c r="A121" s="450"/>
      <c r="B121" s="364"/>
      <c r="C121" s="449"/>
      <c r="D121" s="449"/>
      <c r="E121" s="449"/>
      <c r="F121" s="449"/>
      <c r="G121" s="449"/>
      <c r="H121" s="449"/>
    </row>
    <row r="122" spans="1:8" x14ac:dyDescent="0.35">
      <c r="A122" s="450"/>
      <c r="B122" s="364"/>
      <c r="C122" s="449"/>
      <c r="D122" s="449"/>
      <c r="E122" s="449"/>
      <c r="F122" s="449"/>
      <c r="G122" s="449"/>
      <c r="H122" s="449"/>
    </row>
    <row r="123" spans="1:8" x14ac:dyDescent="0.35">
      <c r="A123" s="450"/>
      <c r="B123" s="364"/>
      <c r="C123" s="451"/>
      <c r="D123" s="449"/>
      <c r="E123" s="449"/>
      <c r="F123" s="449"/>
      <c r="G123" s="449"/>
      <c r="H123" s="449"/>
    </row>
    <row r="124" spans="1:8" x14ac:dyDescent="0.35">
      <c r="A124" s="450"/>
      <c r="B124" s="364"/>
      <c r="C124" s="449"/>
      <c r="D124" s="449"/>
      <c r="E124" s="449"/>
      <c r="F124" s="449"/>
      <c r="G124" s="449"/>
      <c r="H124" s="449"/>
    </row>
    <row r="125" spans="1:8" x14ac:dyDescent="0.35">
      <c r="A125" s="449"/>
      <c r="B125" s="449"/>
      <c r="C125" s="449"/>
      <c r="D125" s="449"/>
      <c r="E125" s="449"/>
      <c r="F125" s="449"/>
      <c r="G125" s="449"/>
      <c r="H125" s="449"/>
    </row>
    <row r="126" spans="1:8" x14ac:dyDescent="0.35">
      <c r="A126" s="449"/>
      <c r="B126" s="449"/>
      <c r="C126" s="449"/>
      <c r="D126" s="449"/>
      <c r="E126" s="449"/>
      <c r="F126" s="449"/>
      <c r="G126" s="449"/>
      <c r="H126" s="449"/>
    </row>
    <row r="127" spans="1:8" x14ac:dyDescent="0.35">
      <c r="A127" s="449"/>
      <c r="B127" s="449"/>
      <c r="C127" s="449"/>
      <c r="D127" s="449"/>
      <c r="E127" s="449"/>
      <c r="F127" s="449"/>
      <c r="G127" s="449"/>
      <c r="H127" s="449"/>
    </row>
    <row r="128" spans="1:8" x14ac:dyDescent="0.35">
      <c r="A128" s="449"/>
      <c r="B128" s="449"/>
      <c r="C128" s="449"/>
      <c r="D128" s="449"/>
      <c r="E128" s="449"/>
      <c r="F128" s="449"/>
      <c r="G128" s="449"/>
      <c r="H128" s="449"/>
    </row>
    <row r="129" spans="1:8" x14ac:dyDescent="0.35">
      <c r="A129" s="376"/>
      <c r="B129" s="447"/>
      <c r="C129" s="447"/>
      <c r="D129" s="447"/>
      <c r="E129" s="447"/>
      <c r="F129" s="449"/>
      <c r="G129" s="449"/>
      <c r="H129" s="449"/>
    </row>
    <row r="130" spans="1:8" x14ac:dyDescent="0.35">
      <c r="A130" s="450"/>
      <c r="B130" s="432"/>
      <c r="C130" s="432"/>
      <c r="D130" s="365"/>
      <c r="E130" s="432"/>
      <c r="F130" s="449"/>
      <c r="G130" s="449"/>
      <c r="H130" s="449"/>
    </row>
    <row r="131" spans="1:8" x14ac:dyDescent="0.35">
      <c r="A131" s="450"/>
      <c r="B131" s="432"/>
      <c r="C131" s="432"/>
      <c r="D131" s="365"/>
      <c r="E131" s="371"/>
      <c r="F131" s="449"/>
      <c r="G131" s="449"/>
      <c r="H131" s="449"/>
    </row>
    <row r="132" spans="1:8" x14ac:dyDescent="0.35">
      <c r="A132" s="450"/>
      <c r="B132" s="432"/>
      <c r="C132" s="432"/>
      <c r="D132" s="365"/>
      <c r="E132" s="371"/>
      <c r="F132" s="449"/>
      <c r="G132" s="449"/>
      <c r="H132" s="449"/>
    </row>
    <row r="133" spans="1:8" x14ac:dyDescent="0.35">
      <c r="A133" s="450"/>
      <c r="B133" s="432"/>
      <c r="C133" s="432"/>
      <c r="D133" s="365"/>
      <c r="E133" s="371"/>
      <c r="F133" s="449"/>
      <c r="G133" s="449"/>
      <c r="H133" s="449"/>
    </row>
    <row r="134" spans="1:8" x14ac:dyDescent="0.35">
      <c r="A134" s="450"/>
      <c r="B134" s="432"/>
      <c r="C134" s="432"/>
      <c r="D134" s="365"/>
      <c r="E134" s="371"/>
      <c r="F134" s="449"/>
      <c r="G134" s="449"/>
      <c r="H134" s="449"/>
    </row>
    <row r="135" spans="1:8" x14ac:dyDescent="0.35">
      <c r="A135" s="450"/>
      <c r="B135" s="432"/>
      <c r="C135" s="432"/>
      <c r="D135" s="365"/>
      <c r="E135" s="432"/>
      <c r="F135" s="449"/>
      <c r="G135" s="449"/>
      <c r="H135" s="449"/>
    </row>
    <row r="136" spans="1:8" x14ac:dyDescent="0.35">
      <c r="A136" s="450"/>
      <c r="B136" s="432"/>
      <c r="C136" s="432"/>
      <c r="D136" s="365"/>
      <c r="E136" s="432"/>
      <c r="F136" s="449"/>
      <c r="G136" s="449"/>
      <c r="H136" s="449"/>
    </row>
    <row r="137" spans="1:8" x14ac:dyDescent="0.35">
      <c r="A137" s="450"/>
      <c r="B137" s="432"/>
      <c r="C137" s="432"/>
      <c r="D137" s="365"/>
      <c r="E137" s="432"/>
      <c r="F137" s="449"/>
      <c r="G137" s="449"/>
      <c r="H137" s="449"/>
    </row>
    <row r="138" spans="1:8" x14ac:dyDescent="0.35">
      <c r="A138" s="450"/>
      <c r="B138" s="432"/>
      <c r="C138" s="432"/>
      <c r="D138" s="365"/>
      <c r="E138" s="432"/>
      <c r="F138" s="449"/>
      <c r="G138" s="449"/>
      <c r="H138" s="449"/>
    </row>
    <row r="139" spans="1:8" x14ac:dyDescent="0.35">
      <c r="A139" s="450"/>
      <c r="B139" s="432"/>
      <c r="C139" s="432"/>
      <c r="D139" s="432"/>
      <c r="E139" s="433"/>
      <c r="F139" s="449"/>
      <c r="G139" s="449"/>
      <c r="H139" s="449"/>
    </row>
    <row r="140" spans="1:8" x14ac:dyDescent="0.35">
      <c r="A140" s="450"/>
      <c r="B140" s="432"/>
      <c r="C140" s="432"/>
      <c r="D140" s="432"/>
      <c r="E140" s="433"/>
      <c r="F140" s="449"/>
      <c r="G140" s="449"/>
      <c r="H140" s="449"/>
    </row>
    <row r="141" spans="1:8" x14ac:dyDescent="0.35">
      <c r="A141" s="450"/>
      <c r="B141" s="450"/>
      <c r="C141" s="450"/>
      <c r="D141" s="450"/>
      <c r="E141" s="450"/>
      <c r="F141" s="449"/>
      <c r="G141" s="449"/>
      <c r="H141" s="449"/>
    </row>
    <row r="142" spans="1:8" x14ac:dyDescent="0.35">
      <c r="A142" s="450"/>
      <c r="B142" s="450"/>
      <c r="C142" s="450"/>
      <c r="D142" s="450"/>
      <c r="E142" s="450"/>
      <c r="F142" s="449"/>
      <c r="G142" s="449"/>
      <c r="H142" s="449"/>
    </row>
    <row r="143" spans="1:8" x14ac:dyDescent="0.35">
      <c r="A143" s="376"/>
      <c r="B143" s="374"/>
      <c r="C143" s="374"/>
      <c r="D143" s="374"/>
      <c r="E143" s="374"/>
      <c r="F143" s="449"/>
      <c r="G143" s="449"/>
      <c r="H143" s="449"/>
    </row>
    <row r="144" spans="1:8" x14ac:dyDescent="0.35">
      <c r="A144" s="449"/>
      <c r="B144" s="449"/>
      <c r="C144" s="449"/>
      <c r="D144" s="449"/>
      <c r="E144" s="449"/>
      <c r="F144" s="449"/>
      <c r="G144" s="449"/>
      <c r="H144" s="449"/>
    </row>
    <row r="145" spans="1:8" x14ac:dyDescent="0.35">
      <c r="A145" s="376"/>
      <c r="B145" s="447"/>
      <c r="C145" s="449"/>
      <c r="D145" s="449"/>
      <c r="E145" s="449"/>
      <c r="F145" s="449"/>
      <c r="G145" s="449"/>
      <c r="H145" s="449"/>
    </row>
    <row r="146" spans="1:8" x14ac:dyDescent="0.35">
      <c r="A146" s="450"/>
      <c r="B146" s="408"/>
      <c r="C146" s="449"/>
      <c r="D146" s="449"/>
      <c r="E146" s="449"/>
      <c r="F146" s="449"/>
      <c r="G146" s="449"/>
      <c r="H146" s="449"/>
    </row>
    <row r="147" spans="1:8" x14ac:dyDescent="0.35">
      <c r="A147" s="450"/>
      <c r="B147" s="408"/>
      <c r="C147" s="449"/>
      <c r="D147" s="449"/>
      <c r="E147" s="449"/>
      <c r="F147" s="449"/>
      <c r="G147" s="449"/>
      <c r="H147" s="449"/>
    </row>
    <row r="148" spans="1:8" x14ac:dyDescent="0.35">
      <c r="A148" s="450"/>
      <c r="B148" s="408"/>
      <c r="C148" s="449"/>
      <c r="D148" s="449"/>
      <c r="E148" s="449"/>
      <c r="F148" s="449"/>
      <c r="G148" s="449"/>
      <c r="H148" s="449"/>
    </row>
    <row r="149" spans="1:8" x14ac:dyDescent="0.35">
      <c r="A149" s="450"/>
      <c r="B149" s="408"/>
      <c r="C149" s="449"/>
      <c r="D149" s="449"/>
      <c r="E149" s="449"/>
      <c r="F149" s="449"/>
      <c r="G149" s="449"/>
      <c r="H149" s="449"/>
    </row>
    <row r="150" spans="1:8" x14ac:dyDescent="0.35">
      <c r="A150" s="450"/>
      <c r="B150" s="408"/>
      <c r="C150" s="449"/>
      <c r="D150" s="449"/>
      <c r="E150" s="449"/>
      <c r="F150" s="449"/>
      <c r="G150" s="449"/>
      <c r="H150" s="449"/>
    </row>
    <row r="151" spans="1:8" x14ac:dyDescent="0.35">
      <c r="A151" s="450"/>
      <c r="B151" s="408"/>
      <c r="C151" s="449"/>
      <c r="D151" s="449"/>
      <c r="E151" s="449"/>
      <c r="F151" s="449"/>
      <c r="G151" s="449"/>
      <c r="H151" s="449"/>
    </row>
    <row r="152" spans="1:8" x14ac:dyDescent="0.35">
      <c r="A152" s="450"/>
      <c r="B152" s="408"/>
      <c r="C152" s="449"/>
      <c r="D152" s="449"/>
      <c r="E152" s="449"/>
      <c r="F152" s="449"/>
      <c r="G152" s="449"/>
      <c r="H152" s="449"/>
    </row>
    <row r="153" spans="1:8" x14ac:dyDescent="0.35">
      <c r="A153" s="450"/>
      <c r="B153" s="408"/>
      <c r="C153" s="449"/>
      <c r="D153" s="449"/>
      <c r="E153" s="449"/>
      <c r="F153" s="449"/>
      <c r="G153" s="449"/>
      <c r="H153" s="449"/>
    </row>
    <row r="154" spans="1:8" x14ac:dyDescent="0.35">
      <c r="A154" s="450"/>
      <c r="B154" s="372"/>
      <c r="C154" s="449"/>
      <c r="D154" s="449"/>
      <c r="E154" s="449"/>
      <c r="F154" s="449"/>
      <c r="G154" s="449"/>
      <c r="H154" s="449"/>
    </row>
    <row r="155" spans="1:8" x14ac:dyDescent="0.35">
      <c r="A155" s="376"/>
      <c r="B155" s="447"/>
      <c r="C155" s="449"/>
      <c r="D155" s="449"/>
      <c r="E155" s="449"/>
      <c r="F155" s="449"/>
      <c r="G155" s="449"/>
      <c r="H155" s="449"/>
    </row>
    <row r="156" spans="1:8" x14ac:dyDescent="0.35">
      <c r="A156" s="407"/>
      <c r="B156" s="367"/>
      <c r="C156" s="449"/>
      <c r="D156" s="449"/>
      <c r="E156" s="449"/>
      <c r="F156" s="449"/>
      <c r="G156" s="449"/>
      <c r="H156" s="449"/>
    </row>
    <row r="157" spans="1:8" x14ac:dyDescent="0.35">
      <c r="A157" s="449"/>
      <c r="B157" s="403"/>
      <c r="C157" s="449"/>
      <c r="D157" s="449"/>
      <c r="E157" s="449"/>
      <c r="F157" s="449"/>
      <c r="G157" s="449"/>
      <c r="H157" s="449"/>
    </row>
    <row r="158" spans="1:8" x14ac:dyDescent="0.35">
      <c r="A158" s="376"/>
      <c r="B158" s="447"/>
      <c r="C158" s="449"/>
      <c r="D158" s="449"/>
      <c r="E158" s="449"/>
      <c r="F158" s="449"/>
      <c r="G158" s="449"/>
      <c r="H158" s="449"/>
    </row>
    <row r="159" spans="1:8" x14ac:dyDescent="0.35">
      <c r="A159" s="450"/>
      <c r="B159" s="369"/>
      <c r="C159" s="449"/>
      <c r="D159" s="449"/>
      <c r="E159" s="449"/>
      <c r="F159" s="449"/>
      <c r="G159" s="449"/>
      <c r="H159" s="449"/>
    </row>
    <row r="160" spans="1:8" x14ac:dyDescent="0.35">
      <c r="A160" s="450"/>
      <c r="B160" s="369"/>
      <c r="C160" s="449"/>
      <c r="D160" s="449"/>
      <c r="E160" s="449"/>
      <c r="F160" s="449"/>
      <c r="G160" s="449"/>
      <c r="H160" s="449"/>
    </row>
    <row r="161" spans="1:8" x14ac:dyDescent="0.35">
      <c r="A161" s="450"/>
      <c r="B161" s="369"/>
      <c r="C161" s="449"/>
      <c r="D161" s="449"/>
      <c r="E161" s="449"/>
      <c r="F161" s="449"/>
      <c r="G161" s="449"/>
      <c r="H161" s="449"/>
    </row>
    <row r="162" spans="1:8" x14ac:dyDescent="0.35">
      <c r="A162" s="450"/>
      <c r="B162" s="369"/>
      <c r="C162" s="449"/>
      <c r="D162" s="449"/>
      <c r="E162" s="449"/>
      <c r="F162" s="449"/>
      <c r="G162" s="449"/>
      <c r="H162" s="449"/>
    </row>
    <row r="163" spans="1:8" x14ac:dyDescent="0.35">
      <c r="A163" s="450"/>
      <c r="B163" s="369"/>
      <c r="C163" s="449"/>
      <c r="D163" s="449"/>
      <c r="E163" s="449"/>
      <c r="F163" s="449"/>
      <c r="G163" s="449"/>
      <c r="H163" s="449"/>
    </row>
    <row r="164" spans="1:8" x14ac:dyDescent="0.35">
      <c r="A164" s="450"/>
      <c r="B164" s="369"/>
      <c r="C164" s="449"/>
      <c r="D164" s="449"/>
      <c r="E164" s="449"/>
      <c r="F164" s="449"/>
      <c r="G164" s="449"/>
      <c r="H164" s="449"/>
    </row>
    <row r="165" spans="1:8" x14ac:dyDescent="0.35">
      <c r="A165" s="450"/>
      <c r="B165" s="372"/>
      <c r="C165" s="449"/>
      <c r="D165" s="449"/>
      <c r="E165" s="449"/>
      <c r="F165" s="449"/>
      <c r="G165" s="449"/>
      <c r="H165" s="449"/>
    </row>
    <row r="166" spans="1:8" x14ac:dyDescent="0.35">
      <c r="A166" s="376"/>
      <c r="B166" s="416"/>
      <c r="C166" s="449"/>
      <c r="D166" s="449"/>
      <c r="E166" s="449"/>
      <c r="F166" s="449"/>
      <c r="G166" s="449"/>
      <c r="H166" s="449"/>
    </row>
    <row r="167" spans="1:8" x14ac:dyDescent="0.35">
      <c r="A167" s="449"/>
      <c r="B167" s="449"/>
      <c r="C167" s="449"/>
      <c r="D167" s="449"/>
      <c r="E167" s="449"/>
      <c r="F167" s="449"/>
      <c r="G167" s="449"/>
      <c r="H167" s="449"/>
    </row>
    <row r="168" spans="1:8" x14ac:dyDescent="0.35">
      <c r="A168" s="449"/>
      <c r="B168" s="449"/>
      <c r="C168" s="449"/>
      <c r="D168" s="449"/>
      <c r="E168" s="449"/>
      <c r="F168" s="449"/>
      <c r="G168" s="449"/>
      <c r="H168" s="449"/>
    </row>
    <row r="169" spans="1:8" x14ac:dyDescent="0.35">
      <c r="A169" s="449"/>
      <c r="B169" s="449"/>
      <c r="C169" s="449"/>
      <c r="D169" s="449"/>
      <c r="E169" s="449"/>
      <c r="F169" s="449"/>
      <c r="G169" s="449"/>
      <c r="H169" s="449"/>
    </row>
    <row r="170" spans="1:8" x14ac:dyDescent="0.35">
      <c r="A170" s="449"/>
      <c r="B170" s="449"/>
      <c r="C170" s="449"/>
      <c r="D170" s="449"/>
      <c r="E170" s="449"/>
      <c r="F170" s="449"/>
      <c r="G170" s="449"/>
      <c r="H170" s="449"/>
    </row>
    <row r="171" spans="1:8" x14ac:dyDescent="0.35">
      <c r="A171" s="449"/>
      <c r="B171" s="449"/>
      <c r="C171" s="449"/>
      <c r="D171" s="449"/>
      <c r="E171" s="449"/>
      <c r="F171" s="449"/>
      <c r="G171" s="449"/>
      <c r="H171" s="449"/>
    </row>
    <row r="172" spans="1:8" x14ac:dyDescent="0.35">
      <c r="A172" s="449"/>
      <c r="B172" s="449"/>
      <c r="C172" s="449"/>
      <c r="D172" s="449"/>
      <c r="E172" s="449"/>
      <c r="F172" s="449"/>
      <c r="G172" s="449"/>
      <c r="H172" s="449"/>
    </row>
    <row r="173" spans="1:8" x14ac:dyDescent="0.35">
      <c r="A173" s="449"/>
      <c r="B173" s="449"/>
      <c r="C173" s="449"/>
      <c r="D173" s="449"/>
      <c r="E173" s="449"/>
      <c r="F173" s="449"/>
      <c r="G173" s="449"/>
      <c r="H173" s="449"/>
    </row>
    <row r="174" spans="1:8" x14ac:dyDescent="0.35">
      <c r="A174" s="449"/>
      <c r="B174" s="449"/>
      <c r="C174" s="449"/>
      <c r="D174" s="449"/>
      <c r="E174" s="449"/>
      <c r="F174" s="449"/>
      <c r="G174" s="449"/>
      <c r="H174" s="449"/>
    </row>
    <row r="175" spans="1:8" x14ac:dyDescent="0.35">
      <c r="A175" s="449"/>
      <c r="B175" s="449"/>
      <c r="C175" s="449"/>
      <c r="D175" s="449"/>
      <c r="E175" s="449"/>
      <c r="F175" s="449"/>
      <c r="G175" s="449"/>
      <c r="H175" s="449"/>
    </row>
    <row r="176" spans="1:8" x14ac:dyDescent="0.35">
      <c r="A176" s="449"/>
      <c r="B176" s="449"/>
      <c r="C176" s="449"/>
      <c r="D176" s="449"/>
      <c r="E176" s="449"/>
      <c r="F176" s="449"/>
      <c r="G176" s="449"/>
      <c r="H176" s="449"/>
    </row>
    <row r="177" spans="1:8" x14ac:dyDescent="0.35">
      <c r="A177" s="449"/>
      <c r="B177" s="449"/>
      <c r="C177" s="449"/>
      <c r="D177" s="449"/>
      <c r="E177" s="449"/>
      <c r="F177" s="449"/>
      <c r="G177" s="449"/>
      <c r="H177" s="449"/>
    </row>
    <row r="178" spans="1:8" x14ac:dyDescent="0.35">
      <c r="A178" s="449"/>
      <c r="B178" s="449"/>
      <c r="C178" s="449"/>
      <c r="D178" s="449"/>
      <c r="E178" s="449"/>
      <c r="F178" s="449"/>
      <c r="G178" s="449"/>
      <c r="H178" s="449"/>
    </row>
    <row r="179" spans="1:8" x14ac:dyDescent="0.35">
      <c r="A179" s="449"/>
      <c r="B179" s="449"/>
      <c r="C179" s="449"/>
      <c r="D179" s="449"/>
      <c r="E179" s="449"/>
      <c r="F179" s="449"/>
      <c r="G179" s="449"/>
      <c r="H179" s="449"/>
    </row>
    <row r="180" spans="1:8" x14ac:dyDescent="0.35">
      <c r="A180" s="449"/>
      <c r="B180" s="449"/>
      <c r="C180" s="449"/>
      <c r="D180" s="449"/>
      <c r="E180" s="449"/>
      <c r="F180" s="449"/>
      <c r="G180" s="449"/>
      <c r="H180" s="449"/>
    </row>
  </sheetData>
  <sortState ref="A44:A47">
    <sortCondition descending="1" ref="A47"/>
  </sortState>
  <mergeCells count="13">
    <mergeCell ref="A5:A6"/>
    <mergeCell ref="F77:G77"/>
    <mergeCell ref="A77:A78"/>
    <mergeCell ref="F90:G90"/>
    <mergeCell ref="B90:C90"/>
    <mergeCell ref="D90:E90"/>
    <mergeCell ref="A50:A51"/>
    <mergeCell ref="A63:A64"/>
    <mergeCell ref="B77:C77"/>
    <mergeCell ref="D77:E77"/>
    <mergeCell ref="F35:G35"/>
    <mergeCell ref="B35:C35"/>
    <mergeCell ref="D35:E3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93"/>
  <sheetViews>
    <sheetView topLeftCell="A25" zoomScale="90" zoomScaleNormal="90" workbookViewId="0">
      <selection activeCell="N29" sqref="N29"/>
    </sheetView>
  </sheetViews>
  <sheetFormatPr defaultRowHeight="14.5" x14ac:dyDescent="0.35"/>
  <cols>
    <col min="1" max="1" width="16.453125" customWidth="1"/>
    <col min="2" max="2" width="15" customWidth="1"/>
    <col min="3" max="3" width="14.6328125" customWidth="1"/>
    <col min="4" max="4" width="16.36328125" customWidth="1"/>
  </cols>
  <sheetData>
    <row r="2" spans="1:6" x14ac:dyDescent="0.35">
      <c r="A2" t="s">
        <v>226</v>
      </c>
      <c r="B2">
        <v>1</v>
      </c>
      <c r="C2">
        <v>10</v>
      </c>
      <c r="D2">
        <v>50</v>
      </c>
      <c r="E2">
        <v>100</v>
      </c>
    </row>
    <row r="3" spans="1:6" x14ac:dyDescent="0.35">
      <c r="A3" t="s">
        <v>227</v>
      </c>
      <c r="B3">
        <f>'CBS ($ per kW)'!J1</f>
        <v>332</v>
      </c>
      <c r="C3" s="278">
        <f>'CBS ($ per kW)'!L1</f>
        <v>3320</v>
      </c>
      <c r="D3" s="278">
        <f>'CBS ($ per kW)'!N1</f>
        <v>16600</v>
      </c>
      <c r="E3" s="278">
        <f>'CBS ($ per kW)'!P1</f>
        <v>33200</v>
      </c>
      <c r="F3" s="278"/>
    </row>
    <row r="4" spans="1:6" x14ac:dyDescent="0.35">
      <c r="A4" s="278" t="s">
        <v>228</v>
      </c>
      <c r="B4">
        <f>B3/1000</f>
        <v>0.33200000000000002</v>
      </c>
      <c r="C4" s="278">
        <f t="shared" ref="C4:E4" si="0">C3/1000</f>
        <v>3.32</v>
      </c>
      <c r="D4" s="278">
        <f t="shared" si="0"/>
        <v>16.600000000000001</v>
      </c>
      <c r="E4" s="278">
        <f t="shared" si="0"/>
        <v>33.200000000000003</v>
      </c>
    </row>
    <row r="26" s="293" customFormat="1" x14ac:dyDescent="0.35"/>
    <row r="27" s="293" customFormat="1" x14ac:dyDescent="0.35"/>
    <row r="28" s="293" customFormat="1" x14ac:dyDescent="0.35"/>
    <row r="29" s="293" customFormat="1" x14ac:dyDescent="0.35"/>
    <row r="30" s="293" customFormat="1" x14ac:dyDescent="0.35"/>
    <row r="31" s="293" customFormat="1" x14ac:dyDescent="0.35"/>
    <row r="32" s="293" customFormat="1" x14ac:dyDescent="0.35"/>
    <row r="33" s="293" customFormat="1" x14ac:dyDescent="0.35"/>
    <row r="34" s="293" customFormat="1" x14ac:dyDescent="0.35"/>
    <row r="35" s="293" customFormat="1" x14ac:dyDescent="0.35"/>
    <row r="36" s="293" customFormat="1" x14ac:dyDescent="0.35"/>
    <row r="37" s="293" customFormat="1" x14ac:dyDescent="0.35"/>
    <row r="38" s="293" customFormat="1" x14ac:dyDescent="0.35"/>
    <row r="39" s="293" customFormat="1" x14ac:dyDescent="0.35"/>
    <row r="40" s="293" customFormat="1" x14ac:dyDescent="0.35"/>
    <row r="41" s="293" customFormat="1" x14ac:dyDescent="0.35"/>
    <row r="42" s="293" customFormat="1" x14ac:dyDescent="0.35"/>
    <row r="43" s="293" customFormat="1" x14ac:dyDescent="0.35"/>
    <row r="44" s="293" customFormat="1" x14ac:dyDescent="0.35"/>
    <row r="45" s="293" customFormat="1" x14ac:dyDescent="0.35"/>
    <row r="46" s="293" customFormat="1" x14ac:dyDescent="0.35"/>
    <row r="47" s="293" customFormat="1" x14ac:dyDescent="0.35"/>
    <row r="48" s="293" customFormat="1" x14ac:dyDescent="0.35"/>
    <row r="49" s="293" customFormat="1" x14ac:dyDescent="0.35"/>
    <row r="50" s="293" customFormat="1" x14ac:dyDescent="0.35"/>
    <row r="51" s="293" customFormat="1" x14ac:dyDescent="0.35"/>
    <row r="52" s="293" customFormat="1" x14ac:dyDescent="0.35"/>
    <row r="53" s="293" customFormat="1" x14ac:dyDescent="0.35"/>
    <row r="54" s="293" customFormat="1" x14ac:dyDescent="0.35"/>
    <row r="55" s="293" customFormat="1" x14ac:dyDescent="0.35"/>
    <row r="56" s="293" customFormat="1" x14ac:dyDescent="0.35"/>
    <row r="57" s="293" customFormat="1" x14ac:dyDescent="0.35"/>
    <row r="58" s="293" customFormat="1" x14ac:dyDescent="0.35"/>
    <row r="59" s="293" customFormat="1" x14ac:dyDescent="0.35"/>
    <row r="60" s="293" customFormat="1" x14ac:dyDescent="0.35"/>
    <row r="61" s="293" customFormat="1" x14ac:dyDescent="0.35"/>
    <row r="62" s="293" customFormat="1" x14ac:dyDescent="0.35"/>
    <row r="63" s="293" customFormat="1" x14ac:dyDescent="0.35"/>
    <row r="64" s="293" customFormat="1" x14ac:dyDescent="0.35"/>
    <row r="65" s="293" customFormat="1" x14ac:dyDescent="0.35"/>
    <row r="66" s="293" customFormat="1" x14ac:dyDescent="0.35"/>
    <row r="67" s="293" customFormat="1" x14ac:dyDescent="0.35"/>
    <row r="68" s="293" customFormat="1" x14ac:dyDescent="0.35"/>
    <row r="69" s="293" customFormat="1" x14ac:dyDescent="0.35"/>
    <row r="110" s="293" customFormat="1" x14ac:dyDescent="0.35"/>
    <row r="111" s="293" customFormat="1" x14ac:dyDescent="0.35"/>
    <row r="112" s="293" customFormat="1" x14ac:dyDescent="0.35"/>
    <row r="113" s="293" customFormat="1" x14ac:dyDescent="0.35"/>
    <row r="114" s="293" customFormat="1" x14ac:dyDescent="0.35"/>
    <row r="115" s="293" customFormat="1" x14ac:dyDescent="0.35"/>
    <row r="116" s="293" customFormat="1" x14ac:dyDescent="0.35"/>
    <row r="117" s="293" customFormat="1" x14ac:dyDescent="0.35"/>
    <row r="118" s="293" customFormat="1" x14ac:dyDescent="0.35"/>
    <row r="119" s="293" customFormat="1" x14ac:dyDescent="0.35"/>
    <row r="120" s="293" customFormat="1" x14ac:dyDescent="0.35"/>
    <row r="121" s="293" customFormat="1" x14ac:dyDescent="0.35"/>
    <row r="122" s="293" customFormat="1" x14ac:dyDescent="0.35"/>
    <row r="123" s="293" customFormat="1" x14ac:dyDescent="0.35"/>
    <row r="124" s="293" customFormat="1" x14ac:dyDescent="0.35"/>
    <row r="125" s="293" customFormat="1" x14ac:dyDescent="0.35"/>
    <row r="126" s="293" customFormat="1" x14ac:dyDescent="0.35"/>
    <row r="127" s="293" customFormat="1" x14ac:dyDescent="0.35"/>
    <row r="129" s="293" customFormat="1" x14ac:dyDescent="0.35"/>
    <row r="130" s="293" customFormat="1" x14ac:dyDescent="0.35"/>
    <row r="131" s="293" customFormat="1" x14ac:dyDescent="0.35"/>
    <row r="133" s="293" customFormat="1" x14ac:dyDescent="0.35"/>
    <row r="134" s="293" customFormat="1" x14ac:dyDescent="0.35"/>
    <row r="135" s="293" customFormat="1" x14ac:dyDescent="0.35"/>
    <row r="136" s="293" customFormat="1" x14ac:dyDescent="0.35"/>
    <row r="137" s="293" customFormat="1" x14ac:dyDescent="0.35"/>
    <row r="138" s="293" customFormat="1" x14ac:dyDescent="0.35"/>
    <row r="139" s="293" customFormat="1" x14ac:dyDescent="0.35"/>
    <row r="140" s="293" customFormat="1" x14ac:dyDescent="0.35"/>
    <row r="141" s="293" customFormat="1" x14ac:dyDescent="0.35"/>
    <row r="155" spans="1:3" s="725" customFormat="1" x14ac:dyDescent="0.35"/>
    <row r="156" spans="1:3" s="725" customFormat="1" x14ac:dyDescent="0.35">
      <c r="A156" s="725" t="s">
        <v>229</v>
      </c>
    </row>
    <row r="157" spans="1:3" s="725" customFormat="1" x14ac:dyDescent="0.35"/>
    <row r="158" spans="1:3" s="725" customFormat="1" x14ac:dyDescent="0.35">
      <c r="A158" s="725" t="s">
        <v>503</v>
      </c>
      <c r="B158" s="725" t="s">
        <v>504</v>
      </c>
      <c r="C158" s="725" t="s">
        <v>505</v>
      </c>
    </row>
    <row r="159" spans="1:3" s="725" customFormat="1" x14ac:dyDescent="0.35">
      <c r="A159" s="725">
        <v>1.5</v>
      </c>
      <c r="B159" s="355">
        <v>10.390967780483027</v>
      </c>
      <c r="C159" s="355">
        <v>160.88775532305041</v>
      </c>
    </row>
    <row r="160" spans="1:3" s="725" customFormat="1" x14ac:dyDescent="0.35">
      <c r="A160" s="725">
        <v>1.7</v>
      </c>
      <c r="B160" s="355">
        <v>14.407267528007228</v>
      </c>
      <c r="C160" s="355">
        <v>126.74104631588072</v>
      </c>
    </row>
    <row r="161" spans="1:3" s="725" customFormat="1" x14ac:dyDescent="0.35">
      <c r="A161" s="725">
        <v>1.9</v>
      </c>
      <c r="B161" s="355">
        <v>19.262078741899987</v>
      </c>
      <c r="C161" s="355">
        <v>102.5294361140466</v>
      </c>
    </row>
    <row r="162" spans="1:3" s="725" customFormat="1" x14ac:dyDescent="0.35">
      <c r="A162" s="725">
        <v>2.1</v>
      </c>
      <c r="B162" s="355">
        <v>25.014411739257284</v>
      </c>
      <c r="C162" s="355">
        <v>84.723318178627878</v>
      </c>
    </row>
    <row r="163" spans="1:3" s="725" customFormat="1" x14ac:dyDescent="0.35">
      <c r="A163" s="725">
        <v>2.2999999999999998</v>
      </c>
      <c r="B163" s="355">
        <v>31.720897876046362</v>
      </c>
      <c r="C163" s="355">
        <v>71.236024866119209</v>
      </c>
    </row>
    <row r="164" spans="1:3" s="725" customFormat="1" x14ac:dyDescent="0.35">
      <c r="A164" s="725">
        <v>2.5</v>
      </c>
      <c r="B164" s="355">
        <v>39.436100650985487</v>
      </c>
      <c r="C164" s="355">
        <v>60.768606249673731</v>
      </c>
    </row>
    <row r="165" spans="1:3" s="725" customFormat="1" x14ac:dyDescent="0.35">
      <c r="A165" s="725">
        <v>2.7</v>
      </c>
      <c r="B165" s="355">
        <v>48.212762713551648</v>
      </c>
      <c r="C165" s="355">
        <v>52.477555643556613</v>
      </c>
    </row>
    <row r="166" spans="1:3" s="725" customFormat="1" x14ac:dyDescent="0.35">
      <c r="A166" s="725">
        <v>2.9</v>
      </c>
      <c r="B166" s="355">
        <v>58.10200605476895</v>
      </c>
      <c r="C166" s="355">
        <v>45.795451835493438</v>
      </c>
    </row>
    <row r="167" spans="1:3" s="725" customFormat="1" x14ac:dyDescent="0.35">
      <c r="A167" s="725">
        <v>3.1</v>
      </c>
      <c r="B167" s="355">
        <v>69.153497062456466</v>
      </c>
      <c r="C167" s="355">
        <v>40.329008402648689</v>
      </c>
    </row>
    <row r="168" spans="1:3" s="725" customFormat="1" x14ac:dyDescent="0.35"/>
    <row r="169" spans="1:3" s="725" customFormat="1" x14ac:dyDescent="0.35"/>
    <row r="170" spans="1:3" s="725" customFormat="1" x14ac:dyDescent="0.35"/>
    <row r="171" spans="1:3" s="725" customFormat="1" x14ac:dyDescent="0.35"/>
    <row r="172" spans="1:3" s="725" customFormat="1" x14ac:dyDescent="0.35"/>
    <row r="173" spans="1:3" s="725" customFormat="1" x14ac:dyDescent="0.35"/>
    <row r="174" spans="1:3" s="725" customFormat="1" x14ac:dyDescent="0.35"/>
    <row r="175" spans="1:3" s="725" customFormat="1" x14ac:dyDescent="0.35"/>
    <row r="176" spans="1:3" s="725" customFormat="1" x14ac:dyDescent="0.35"/>
    <row r="177" s="725" customFormat="1" x14ac:dyDescent="0.35"/>
    <row r="178" s="725" customFormat="1" x14ac:dyDescent="0.35"/>
    <row r="179" s="725" customFormat="1" x14ac:dyDescent="0.35"/>
    <row r="180" s="725" customFormat="1" x14ac:dyDescent="0.35"/>
    <row r="181" s="725" customFormat="1" x14ac:dyDescent="0.35"/>
    <row r="182" s="725" customFormat="1" x14ac:dyDescent="0.35"/>
    <row r="183" s="725" customFormat="1" x14ac:dyDescent="0.35"/>
    <row r="184" s="725" customFormat="1" x14ac:dyDescent="0.35"/>
    <row r="185" s="725" customFormat="1" x14ac:dyDescent="0.35"/>
    <row r="186" s="725" customFormat="1" x14ac:dyDescent="0.35"/>
    <row r="187" s="725" customFormat="1" x14ac:dyDescent="0.35"/>
    <row r="188" s="725" customFormat="1" x14ac:dyDescent="0.35"/>
    <row r="189" s="725" customFormat="1" x14ac:dyDescent="0.35"/>
    <row r="190" s="725" customFormat="1" x14ac:dyDescent="0.35"/>
    <row r="191" s="725" customFormat="1" x14ac:dyDescent="0.35"/>
    <row r="192" s="725" customFormat="1" x14ac:dyDescent="0.35"/>
    <row r="193" spans="1:21" s="725" customFormat="1" x14ac:dyDescent="0.35"/>
    <row r="194" spans="1:21" s="725" customFormat="1" x14ac:dyDescent="0.35"/>
    <row r="195" spans="1:21" s="725" customFormat="1" x14ac:dyDescent="0.35"/>
    <row r="196" spans="1:21" s="725" customFormat="1" x14ac:dyDescent="0.35"/>
    <row r="197" spans="1:21" s="725" customFormat="1" x14ac:dyDescent="0.35"/>
    <row r="198" spans="1:21" s="725" customFormat="1" x14ac:dyDescent="0.35"/>
    <row r="199" spans="1:21" s="725" customFormat="1" x14ac:dyDescent="0.35"/>
    <row r="200" spans="1:21" s="725" customFormat="1" x14ac:dyDescent="0.35"/>
    <row r="201" spans="1:21" s="725" customFormat="1" x14ac:dyDescent="0.35"/>
    <row r="202" spans="1:21" s="725" customFormat="1" x14ac:dyDescent="0.35"/>
    <row r="203" spans="1:21" s="725" customFormat="1" x14ac:dyDescent="0.35"/>
    <row r="204" spans="1:21" s="725" customFormat="1" x14ac:dyDescent="0.35">
      <c r="A204" s="289" t="s">
        <v>230</v>
      </c>
      <c r="B204" s="292">
        <v>36.560460667048353</v>
      </c>
      <c r="C204" s="290">
        <v>43.907130154404705</v>
      </c>
      <c r="D204" s="290">
        <v>51.253799641761056</v>
      </c>
      <c r="E204" s="290">
        <v>58.600469129117407</v>
      </c>
      <c r="F204" s="290">
        <v>65.947138616473751</v>
      </c>
      <c r="G204" s="290">
        <v>73.293808103830102</v>
      </c>
      <c r="H204" s="290">
        <v>80.640477591186453</v>
      </c>
      <c r="I204" s="290">
        <v>87.987147078542804</v>
      </c>
      <c r="J204" s="290">
        <v>95.333816565899156</v>
      </c>
      <c r="K204" s="290">
        <v>102.68048605325551</v>
      </c>
      <c r="L204" s="290">
        <v>110.02715554061186</v>
      </c>
      <c r="M204" s="290">
        <v>117.37382502796821</v>
      </c>
      <c r="N204" s="290">
        <v>124.72049451532456</v>
      </c>
      <c r="O204" s="290">
        <v>132.0671640026809</v>
      </c>
      <c r="P204" s="290">
        <v>139.41383349003723</v>
      </c>
      <c r="Q204" s="290">
        <v>146.76050297739357</v>
      </c>
      <c r="R204" s="290">
        <v>154.10717246474991</v>
      </c>
      <c r="S204" s="290">
        <v>161.45384195210625</v>
      </c>
      <c r="T204" s="290">
        <v>168.80051143946258</v>
      </c>
      <c r="U204" s="290">
        <v>176.14718092681898</v>
      </c>
    </row>
    <row r="205" spans="1:21" s="725" customFormat="1" x14ac:dyDescent="0.35">
      <c r="A205" s="289" t="s">
        <v>218</v>
      </c>
      <c r="B205" s="291">
        <v>0</v>
      </c>
      <c r="C205" s="291">
        <v>0</v>
      </c>
      <c r="D205" s="291">
        <v>3.5200000000000002E-2</v>
      </c>
      <c r="E205" s="291">
        <v>0.16919999999999999</v>
      </c>
      <c r="F205" s="291">
        <v>0.35659999999999997</v>
      </c>
      <c r="G205" s="291">
        <v>0.55179999999999996</v>
      </c>
      <c r="H205" s="291">
        <v>0.70179999999999998</v>
      </c>
      <c r="I205" s="291">
        <v>0.80400000000000005</v>
      </c>
      <c r="J205" s="291">
        <v>0.87539999999999996</v>
      </c>
      <c r="K205" s="291">
        <v>0.92259999999999998</v>
      </c>
      <c r="L205" s="291">
        <v>0.95299999999999996</v>
      </c>
      <c r="M205" s="291">
        <v>0.97319999999999995</v>
      </c>
      <c r="N205" s="291">
        <v>0.98540000000000005</v>
      </c>
      <c r="O205" s="291">
        <v>0.99539999999999995</v>
      </c>
      <c r="P205" s="291">
        <v>0.99860000000000004</v>
      </c>
      <c r="Q205" s="291">
        <v>1</v>
      </c>
      <c r="R205" s="291">
        <v>1</v>
      </c>
      <c r="S205" s="291">
        <v>1</v>
      </c>
      <c r="T205" s="291">
        <v>1</v>
      </c>
      <c r="U205" s="291">
        <v>1</v>
      </c>
    </row>
    <row r="206" spans="1:21" s="725" customFormat="1" x14ac:dyDescent="0.35"/>
    <row r="207" spans="1:21" s="725" customFormat="1" x14ac:dyDescent="0.35">
      <c r="A207" s="891" t="s">
        <v>231</v>
      </c>
      <c r="B207" s="892"/>
    </row>
    <row r="208" spans="1:21" s="725" customFormat="1" x14ac:dyDescent="0.35">
      <c r="A208" s="295" t="s">
        <v>218</v>
      </c>
      <c r="B208" s="296" t="s">
        <v>230</v>
      </c>
    </row>
    <row r="209" spans="1:2" s="725" customFormat="1" x14ac:dyDescent="0.35">
      <c r="A209" s="249">
        <v>0.1</v>
      </c>
      <c r="B209" s="297">
        <v>54.806514739990234</v>
      </c>
    </row>
    <row r="210" spans="1:2" s="725" customFormat="1" x14ac:dyDescent="0.35">
      <c r="A210" s="249">
        <v>0.5</v>
      </c>
      <c r="B210" s="297">
        <v>71.344230651855469</v>
      </c>
    </row>
    <row r="211" spans="1:2" s="725" customFormat="1" x14ac:dyDescent="0.35">
      <c r="A211" s="249">
        <v>0.9</v>
      </c>
      <c r="B211" s="297">
        <v>99.162803649902344</v>
      </c>
    </row>
    <row r="212" spans="1:2" s="725" customFormat="1" x14ac:dyDescent="0.35"/>
    <row r="213" spans="1:2" s="725" customFormat="1" x14ac:dyDescent="0.35"/>
    <row r="214" spans="1:2" s="725" customFormat="1" x14ac:dyDescent="0.35"/>
    <row r="215" spans="1:2" s="725" customFormat="1" x14ac:dyDescent="0.35"/>
    <row r="216" spans="1:2" s="725" customFormat="1" x14ac:dyDescent="0.35"/>
    <row r="217" spans="1:2" s="725" customFormat="1" x14ac:dyDescent="0.35"/>
    <row r="218" spans="1:2" s="725" customFormat="1" x14ac:dyDescent="0.35"/>
    <row r="219" spans="1:2" s="725" customFormat="1" x14ac:dyDescent="0.35"/>
    <row r="220" spans="1:2" s="725" customFormat="1" x14ac:dyDescent="0.35"/>
    <row r="221" spans="1:2" s="725" customFormat="1" x14ac:dyDescent="0.35"/>
    <row r="222" spans="1:2" s="725" customFormat="1" x14ac:dyDescent="0.35"/>
    <row r="223" spans="1:2" s="725" customFormat="1" x14ac:dyDescent="0.35"/>
    <row r="224" spans="1:2" s="725" customFormat="1" x14ac:dyDescent="0.35"/>
    <row r="225" s="725" customFormat="1" x14ac:dyDescent="0.35"/>
    <row r="226" s="725" customFormat="1" x14ac:dyDescent="0.35"/>
    <row r="227" s="725" customFormat="1" x14ac:dyDescent="0.35"/>
    <row r="228" s="725" customFormat="1" x14ac:dyDescent="0.35"/>
    <row r="229" s="725" customFormat="1" x14ac:dyDescent="0.35"/>
    <row r="230" s="725" customFormat="1" x14ac:dyDescent="0.35"/>
    <row r="231" s="725" customFormat="1" x14ac:dyDescent="0.35"/>
    <row r="232" s="725" customFormat="1" x14ac:dyDescent="0.35"/>
    <row r="233" s="725" customFormat="1" x14ac:dyDescent="0.35"/>
    <row r="234" s="725" customFormat="1" x14ac:dyDescent="0.35"/>
    <row r="235" s="725" customFormat="1" x14ac:dyDescent="0.35"/>
    <row r="236" s="725" customFormat="1" x14ac:dyDescent="0.35"/>
    <row r="237" s="725" customFormat="1" x14ac:dyDescent="0.35"/>
    <row r="238" s="725" customFormat="1" x14ac:dyDescent="0.35"/>
    <row r="239" s="725" customFormat="1" x14ac:dyDescent="0.35"/>
    <row r="240" s="725" customFormat="1" x14ac:dyDescent="0.35"/>
    <row r="241" s="725" customFormat="1" x14ac:dyDescent="0.35"/>
    <row r="242" s="725" customFormat="1" x14ac:dyDescent="0.35"/>
    <row r="243" s="725" customFormat="1" x14ac:dyDescent="0.35"/>
    <row r="244" s="725" customFormat="1" x14ac:dyDescent="0.35"/>
    <row r="245" s="725" customFormat="1" x14ac:dyDescent="0.35"/>
    <row r="246" s="725" customFormat="1" x14ac:dyDescent="0.35"/>
    <row r="247" s="725" customFormat="1" x14ac:dyDescent="0.35"/>
    <row r="248" s="725" customFormat="1" x14ac:dyDescent="0.35"/>
    <row r="249" s="725" customFormat="1" x14ac:dyDescent="0.35"/>
    <row r="250" s="725" customFormat="1" x14ac:dyDescent="0.35"/>
    <row r="251" s="725" customFormat="1" x14ac:dyDescent="0.35"/>
    <row r="252" s="725" customFormat="1" x14ac:dyDescent="0.35"/>
    <row r="253" s="725" customFormat="1" x14ac:dyDescent="0.35"/>
    <row r="254" s="725" customFormat="1" x14ac:dyDescent="0.35"/>
    <row r="255" s="725" customFormat="1" x14ac:dyDescent="0.35"/>
    <row r="256" s="725" customFormat="1" x14ac:dyDescent="0.35"/>
    <row r="257" s="725" customFormat="1" x14ac:dyDescent="0.35"/>
    <row r="258" s="725" customFormat="1" x14ac:dyDescent="0.35"/>
    <row r="259" s="725" customFormat="1" x14ac:dyDescent="0.35"/>
    <row r="260" s="725" customFormat="1" x14ac:dyDescent="0.35"/>
    <row r="261" s="725" customFormat="1" x14ac:dyDescent="0.35"/>
    <row r="262" s="725" customFormat="1" x14ac:dyDescent="0.35"/>
    <row r="263" s="725" customFormat="1" x14ac:dyDescent="0.35"/>
    <row r="264" s="725" customFormat="1" x14ac:dyDescent="0.35"/>
    <row r="265" s="725" customFormat="1" x14ac:dyDescent="0.35"/>
    <row r="266" s="725" customFormat="1" x14ac:dyDescent="0.35"/>
    <row r="267" s="725" customFormat="1" x14ac:dyDescent="0.35"/>
    <row r="268" s="725" customFormat="1" x14ac:dyDescent="0.35"/>
    <row r="269" s="725" customFormat="1" x14ac:dyDescent="0.35"/>
    <row r="270" s="725" customFormat="1" x14ac:dyDescent="0.35"/>
    <row r="271" s="725" customFormat="1" x14ac:dyDescent="0.35"/>
    <row r="272" s="725" customFormat="1" x14ac:dyDescent="0.35"/>
    <row r="273" s="725" customFormat="1" x14ac:dyDescent="0.35"/>
    <row r="274" s="725" customFormat="1" x14ac:dyDescent="0.35"/>
    <row r="275" s="725" customFormat="1" x14ac:dyDescent="0.35"/>
    <row r="276" s="725" customFormat="1" x14ac:dyDescent="0.35"/>
    <row r="277" s="725" customFormat="1" x14ac:dyDescent="0.35"/>
    <row r="278" s="725" customFormat="1" x14ac:dyDescent="0.35"/>
    <row r="279" s="725" customFormat="1" x14ac:dyDescent="0.35"/>
    <row r="280" s="725" customFormat="1" x14ac:dyDescent="0.35"/>
    <row r="281" s="725" customFormat="1" x14ac:dyDescent="0.35"/>
    <row r="282" s="725" customFormat="1" x14ac:dyDescent="0.35"/>
    <row r="283" s="725" customFormat="1" x14ac:dyDescent="0.35"/>
    <row r="284" s="725" customFormat="1" x14ac:dyDescent="0.35"/>
    <row r="285" s="725" customFormat="1" x14ac:dyDescent="0.35"/>
    <row r="286" s="725" customFormat="1" x14ac:dyDescent="0.35"/>
    <row r="287" s="725" customFormat="1" x14ac:dyDescent="0.35"/>
    <row r="288" s="725" customFormat="1" x14ac:dyDescent="0.35"/>
    <row r="289" s="725" customFormat="1" x14ac:dyDescent="0.35"/>
    <row r="290" s="725" customFormat="1" x14ac:dyDescent="0.35"/>
    <row r="291" s="725" customFormat="1" x14ac:dyDescent="0.35"/>
    <row r="292" s="725" customFormat="1" x14ac:dyDescent="0.35"/>
    <row r="293" s="725" customFormat="1" x14ac:dyDescent="0.35"/>
  </sheetData>
  <mergeCells count="1">
    <mergeCell ref="A207:B20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E144"/>
  <sheetViews>
    <sheetView topLeftCell="I1" zoomScaleNormal="100" workbookViewId="0">
      <selection activeCell="A19" sqref="A19"/>
    </sheetView>
  </sheetViews>
  <sheetFormatPr defaultColWidth="9.08984375" defaultRowHeight="12.5" outlineLevelRow="1" x14ac:dyDescent="0.25"/>
  <cols>
    <col min="1" max="1" width="3" style="123" customWidth="1"/>
    <col min="2" max="2" width="11.453125" style="123" customWidth="1"/>
    <col min="3" max="3" width="11" style="123" customWidth="1"/>
    <col min="4" max="7" width="8.6328125" style="123" customWidth="1"/>
    <col min="8" max="8" width="8.6328125" style="393" customWidth="1"/>
    <col min="9" max="9" width="8.6328125" style="496" customWidth="1"/>
    <col min="10" max="10" width="8.6328125" style="123" customWidth="1"/>
    <col min="11" max="12" width="8.6328125" style="171" customWidth="1"/>
    <col min="13" max="14" width="8.6328125" style="123" customWidth="1"/>
    <col min="15" max="15" width="8.6328125" style="122" customWidth="1"/>
    <col min="16" max="18" width="8.6328125" style="123" customWidth="1"/>
    <col min="19" max="19" width="13" style="123" customWidth="1"/>
    <col min="20" max="20" width="10.453125" style="123" customWidth="1"/>
    <col min="21" max="21" width="9" style="123" customWidth="1"/>
    <col min="22" max="22" width="11.453125" style="123" bestFit="1" customWidth="1"/>
    <col min="23" max="16384" width="9.08984375" style="123"/>
  </cols>
  <sheetData>
    <row r="1" spans="1:31" s="121" customFormat="1" ht="15.5" x14ac:dyDescent="0.35">
      <c r="A1" s="168" t="s">
        <v>167</v>
      </c>
      <c r="B1" s="169"/>
      <c r="C1" s="169"/>
      <c r="D1" s="169"/>
      <c r="E1" s="169"/>
      <c r="F1" s="169"/>
      <c r="G1" s="169"/>
      <c r="H1" s="391"/>
      <c r="I1" s="501"/>
      <c r="J1" s="169"/>
      <c r="K1" s="169"/>
      <c r="L1" s="169"/>
      <c r="M1" s="169"/>
      <c r="N1" s="169"/>
      <c r="O1" s="168" t="s">
        <v>178</v>
      </c>
      <c r="P1" s="169"/>
      <c r="Q1" s="169"/>
      <c r="R1" s="169"/>
      <c r="S1" s="169"/>
      <c r="T1" s="169"/>
      <c r="U1" s="169"/>
    </row>
    <row r="2" spans="1:31" ht="12.75" customHeight="1" x14ac:dyDescent="0.25">
      <c r="A2" s="170"/>
      <c r="B2" s="170"/>
      <c r="C2" s="171"/>
      <c r="D2" s="171"/>
      <c r="E2" s="171"/>
      <c r="F2" s="171"/>
      <c r="G2" s="171"/>
      <c r="J2" s="171"/>
      <c r="M2" s="171"/>
      <c r="N2" s="171"/>
      <c r="O2" s="170"/>
      <c r="P2" s="170"/>
      <c r="Q2" s="170"/>
      <c r="R2" s="170"/>
      <c r="S2" s="170"/>
      <c r="T2" s="170"/>
      <c r="U2" s="170"/>
      <c r="V2" s="122"/>
      <c r="Z2" s="124"/>
    </row>
    <row r="3" spans="1:31" s="225" customFormat="1" ht="12.75" customHeight="1" x14ac:dyDescent="0.3">
      <c r="A3" s="854" t="s">
        <v>1389</v>
      </c>
      <c r="B3" s="175"/>
      <c r="C3" s="175"/>
      <c r="D3" s="175"/>
      <c r="E3" s="175"/>
      <c r="G3" s="853">
        <v>1</v>
      </c>
      <c r="H3" s="393"/>
      <c r="I3" s="496"/>
      <c r="O3" s="224"/>
      <c r="P3" s="224"/>
      <c r="Q3" s="224"/>
      <c r="R3" s="224"/>
      <c r="S3" s="224"/>
      <c r="T3" s="224"/>
      <c r="U3" s="224"/>
      <c r="V3" s="224"/>
      <c r="Z3" s="226"/>
    </row>
    <row r="4" spans="1:31" s="225" customFormat="1" ht="12.75" customHeight="1" x14ac:dyDescent="0.25">
      <c r="A4" s="224"/>
      <c r="B4" s="224"/>
      <c r="H4" s="393"/>
      <c r="I4" s="496"/>
      <c r="O4" s="224"/>
      <c r="P4" s="224"/>
      <c r="Q4" s="224"/>
      <c r="R4" s="224"/>
      <c r="S4" s="224"/>
      <c r="T4" s="224"/>
      <c r="U4" s="224"/>
      <c r="V4" s="224"/>
      <c r="Z4" s="226"/>
    </row>
    <row r="5" spans="1:31" ht="14" x14ac:dyDescent="0.3">
      <c r="A5" s="172" t="s">
        <v>275</v>
      </c>
      <c r="B5" s="173"/>
      <c r="C5" s="170"/>
      <c r="D5" s="170"/>
      <c r="E5" s="170"/>
      <c r="F5" s="174"/>
      <c r="G5" s="174"/>
      <c r="H5" s="400"/>
      <c r="I5" s="499"/>
      <c r="J5" s="170"/>
      <c r="K5" s="170"/>
      <c r="L5" s="170"/>
      <c r="M5" s="170"/>
      <c r="N5" s="171"/>
      <c r="O5" s="172" t="s">
        <v>179</v>
      </c>
      <c r="P5" s="558"/>
      <c r="Q5" s="558"/>
      <c r="R5" s="558"/>
      <c r="S5" s="558"/>
      <c r="T5" s="558"/>
      <c r="U5" s="170"/>
      <c r="V5" s="126"/>
      <c r="W5" s="533"/>
      <c r="X5" s="534"/>
      <c r="Y5" s="534"/>
      <c r="Z5" s="554"/>
    </row>
    <row r="6" spans="1:31" ht="14" outlineLevel="1" x14ac:dyDescent="0.3">
      <c r="A6" s="176"/>
      <c r="B6" s="528" t="s">
        <v>276</v>
      </c>
      <c r="C6" s="528"/>
      <c r="D6" s="528"/>
      <c r="E6" s="528"/>
      <c r="F6" s="177"/>
      <c r="G6" s="543">
        <v>0.8</v>
      </c>
      <c r="H6" s="170"/>
      <c r="I6" s="497"/>
      <c r="K6" s="170"/>
      <c r="L6" s="170"/>
      <c r="M6" s="170"/>
      <c r="N6" s="171"/>
      <c r="O6" s="170"/>
      <c r="P6" s="560" t="s">
        <v>278</v>
      </c>
      <c r="Q6" s="560"/>
      <c r="R6" s="560"/>
      <c r="S6" s="197">
        <f>SUMPRODUCT(D24:D43,U24:U43)/SUM(U24:U43)</f>
        <v>2.3812265880290111</v>
      </c>
      <c r="T6" s="565" t="s">
        <v>130</v>
      </c>
      <c r="U6" s="179"/>
      <c r="V6" s="128"/>
      <c r="W6" s="529"/>
      <c r="X6" s="529"/>
      <c r="Y6" s="529"/>
      <c r="Z6" s="529"/>
      <c r="AA6" s="128"/>
      <c r="AB6" s="129"/>
      <c r="AC6" s="129"/>
      <c r="AD6" s="122"/>
      <c r="AE6" s="122"/>
    </row>
    <row r="7" spans="1:31" ht="14" outlineLevel="1" x14ac:dyDescent="0.3">
      <c r="A7" s="532"/>
      <c r="B7" s="574" t="s">
        <v>281</v>
      </c>
      <c r="C7" s="574"/>
      <c r="D7" s="574"/>
      <c r="E7" s="574"/>
      <c r="F7" s="526"/>
      <c r="G7" s="855">
        <f>G8*G6</f>
        <v>332</v>
      </c>
      <c r="H7" s="170" t="s">
        <v>135</v>
      </c>
      <c r="I7" s="497"/>
      <c r="K7" s="170"/>
      <c r="L7" s="170"/>
      <c r="M7" s="170"/>
      <c r="N7" s="171"/>
      <c r="O7" s="170"/>
      <c r="P7" s="560" t="s">
        <v>279</v>
      </c>
      <c r="Q7" s="560"/>
      <c r="R7" s="560"/>
      <c r="S7" s="197">
        <f>SUMPRODUCT(E23:T23,E44:T44)/SUM(E44:T44)</f>
        <v>9.2517334821072765</v>
      </c>
      <c r="T7" s="565" t="s">
        <v>280</v>
      </c>
      <c r="U7" s="179"/>
      <c r="V7" s="128"/>
      <c r="W7" s="529"/>
      <c r="X7" s="556"/>
      <c r="Y7" s="529"/>
      <c r="Z7" s="529"/>
      <c r="AA7" s="128"/>
      <c r="AB7" s="129"/>
      <c r="AC7" s="129"/>
      <c r="AD7" s="122"/>
      <c r="AE7" s="122"/>
    </row>
    <row r="8" spans="1:31" s="393" customFormat="1" ht="14" outlineLevel="1" x14ac:dyDescent="0.3">
      <c r="A8" s="532"/>
      <c r="B8" s="530" t="s">
        <v>1390</v>
      </c>
      <c r="C8" s="526"/>
      <c r="D8" s="526"/>
      <c r="E8" s="526"/>
      <c r="F8" s="526"/>
      <c r="G8" s="855">
        <v>415</v>
      </c>
      <c r="H8" s="392"/>
      <c r="I8" s="497"/>
      <c r="K8" s="392"/>
      <c r="L8" s="392"/>
      <c r="M8" s="392"/>
      <c r="O8" s="392"/>
      <c r="P8" s="575" t="s">
        <v>168</v>
      </c>
      <c r="Q8" s="574"/>
      <c r="R8" s="574"/>
      <c r="S8" s="586">
        <f>SUMPRODUCT(E24:T43,E49:T68)/SUM(U24:U43)</f>
        <v>33.50109316470072</v>
      </c>
      <c r="T8" s="585" t="s">
        <v>277</v>
      </c>
      <c r="U8" s="401"/>
      <c r="V8" s="394"/>
      <c r="W8" s="529"/>
      <c r="X8" s="556"/>
      <c r="Y8" s="529"/>
      <c r="Z8" s="529"/>
      <c r="AA8" s="394"/>
      <c r="AB8" s="395"/>
      <c r="AC8" s="395"/>
      <c r="AD8" s="392"/>
      <c r="AE8" s="392"/>
    </row>
    <row r="9" spans="1:31" s="488" customFormat="1" ht="13" outlineLevel="1" x14ac:dyDescent="0.3">
      <c r="A9" s="172" t="s">
        <v>174</v>
      </c>
      <c r="B9" s="175"/>
      <c r="C9" s="175"/>
      <c r="D9" s="175"/>
      <c r="E9" s="175"/>
      <c r="F9" s="174"/>
      <c r="G9" s="570"/>
      <c r="H9" s="170"/>
      <c r="I9" s="497"/>
      <c r="K9" s="489"/>
      <c r="L9" s="489"/>
      <c r="M9" s="489"/>
      <c r="O9" s="489"/>
      <c r="P9" s="570"/>
      <c r="Q9" s="569"/>
      <c r="R9" s="569"/>
      <c r="S9" s="576"/>
      <c r="T9" s="569"/>
      <c r="U9" s="490"/>
      <c r="V9" s="492"/>
      <c r="W9" s="529"/>
      <c r="X9" s="556"/>
      <c r="Y9" s="529"/>
      <c r="Z9" s="529"/>
      <c r="AA9" s="492"/>
      <c r="AB9" s="491"/>
      <c r="AC9" s="491"/>
      <c r="AD9" s="489"/>
      <c r="AE9" s="489"/>
    </row>
    <row r="10" spans="1:31" outlineLevel="1" x14ac:dyDescent="0.25">
      <c r="A10" s="170"/>
      <c r="B10" s="180" t="s">
        <v>176</v>
      </c>
      <c r="C10" s="180"/>
      <c r="D10" s="180"/>
      <c r="E10" s="180"/>
      <c r="F10" s="177"/>
      <c r="G10" s="135">
        <v>0.95</v>
      </c>
      <c r="H10" s="392"/>
      <c r="I10" s="497"/>
      <c r="K10" s="170"/>
      <c r="L10" s="170"/>
      <c r="M10" s="170"/>
      <c r="N10" s="171"/>
      <c r="O10" s="170"/>
      <c r="U10" s="170"/>
      <c r="V10" s="122"/>
      <c r="W10" s="559"/>
      <c r="X10" s="559"/>
      <c r="Y10" s="559"/>
      <c r="Z10" s="553"/>
      <c r="AA10" s="122"/>
      <c r="AB10" s="122"/>
      <c r="AC10" s="122"/>
      <c r="AD10" s="122"/>
      <c r="AE10" s="122"/>
    </row>
    <row r="11" spans="1:31" s="393" customFormat="1" outlineLevel="1" x14ac:dyDescent="0.25">
      <c r="A11" s="170"/>
      <c r="B11" s="577" t="s">
        <v>151</v>
      </c>
      <c r="C11" s="574"/>
      <c r="D11" s="574"/>
      <c r="E11" s="574"/>
      <c r="F11" s="177"/>
      <c r="G11" s="135">
        <v>0.98</v>
      </c>
      <c r="H11" s="181"/>
      <c r="I11" s="498"/>
      <c r="K11" s="392"/>
      <c r="L11" s="392"/>
      <c r="M11" s="392"/>
      <c r="O11" s="392"/>
      <c r="U11" s="392"/>
      <c r="V11" s="392"/>
      <c r="W11" s="559"/>
      <c r="X11" s="559"/>
      <c r="Y11" s="559"/>
      <c r="Z11" s="553"/>
      <c r="AA11" s="392"/>
      <c r="AB11" s="392"/>
      <c r="AC11" s="392"/>
      <c r="AD11" s="392"/>
      <c r="AE11" s="392"/>
    </row>
    <row r="12" spans="1:31" ht="13" outlineLevel="1" x14ac:dyDescent="0.3">
      <c r="G12" s="573"/>
      <c r="H12" s="181"/>
      <c r="I12" s="498"/>
      <c r="K12" s="181"/>
      <c r="L12" s="181"/>
      <c r="M12" s="170"/>
      <c r="N12" s="171"/>
      <c r="O12" s="172" t="s">
        <v>169</v>
      </c>
      <c r="P12" s="170"/>
      <c r="Q12" s="170"/>
      <c r="R12" s="170"/>
      <c r="S12" s="578"/>
      <c r="T12" s="182"/>
      <c r="U12" s="170"/>
      <c r="V12" s="122"/>
      <c r="W12" s="122"/>
      <c r="X12" s="122"/>
      <c r="Y12" s="122"/>
      <c r="Z12" s="130"/>
      <c r="AA12" s="122"/>
      <c r="AB12" s="122"/>
      <c r="AC12" s="122"/>
      <c r="AD12" s="122"/>
      <c r="AE12" s="122"/>
    </row>
    <row r="13" spans="1:31" ht="13" outlineLevel="1" x14ac:dyDescent="0.3">
      <c r="A13" s="126" t="s">
        <v>1388</v>
      </c>
      <c r="B13" s="175"/>
      <c r="C13" s="175"/>
      <c r="D13" s="175"/>
      <c r="E13" s="175"/>
      <c r="G13" s="856">
        <f>IF(G3=1,'Perf Comp Table'!E15,'Perf Comp Table'!E16)</f>
        <v>412.42547460544745</v>
      </c>
      <c r="H13" s="467" t="s">
        <v>148</v>
      </c>
      <c r="K13" s="181"/>
      <c r="L13" s="181"/>
      <c r="M13" s="170"/>
      <c r="N13" s="171"/>
      <c r="O13" s="171"/>
      <c r="P13" s="183" t="s">
        <v>170</v>
      </c>
      <c r="Q13" s="180"/>
      <c r="R13" s="574"/>
      <c r="S13" s="586">
        <f>IF(G3=1,'Perf Comp Table'!C10,'Perf Comp Table'!C5)</f>
        <v>134.72289958672502</v>
      </c>
      <c r="T13" s="185" t="s">
        <v>135</v>
      </c>
      <c r="U13" s="170"/>
      <c r="V13" s="122"/>
      <c r="W13" s="122"/>
      <c r="X13" s="122"/>
      <c r="Y13" s="122"/>
      <c r="Z13" s="130"/>
      <c r="AA13" s="122"/>
      <c r="AB13" s="122"/>
      <c r="AC13" s="122"/>
      <c r="AD13" s="122"/>
      <c r="AE13" s="122"/>
    </row>
    <row r="14" spans="1:31" outlineLevel="1" x14ac:dyDescent="0.25">
      <c r="G14" s="573"/>
      <c r="H14" s="448"/>
      <c r="I14" s="498"/>
      <c r="K14" s="181"/>
      <c r="L14" s="181"/>
      <c r="M14" s="170"/>
      <c r="N14" s="171"/>
      <c r="O14" s="170"/>
      <c r="P14" s="187" t="s">
        <v>171</v>
      </c>
      <c r="Q14" s="180"/>
      <c r="R14" s="184"/>
      <c r="S14" s="566">
        <f>S13*G6*G10*G11</f>
        <v>100.3416156121928</v>
      </c>
      <c r="T14" s="178" t="s">
        <v>135</v>
      </c>
      <c r="U14" s="179"/>
      <c r="V14" s="122"/>
      <c r="W14" s="122"/>
      <c r="X14" s="122"/>
      <c r="Y14" s="122"/>
      <c r="Z14" s="130"/>
      <c r="AA14" s="122"/>
      <c r="AB14" s="122"/>
      <c r="AC14" s="122"/>
      <c r="AD14" s="122"/>
      <c r="AE14" s="122"/>
    </row>
    <row r="15" spans="1:31" s="506" customFormat="1" outlineLevel="1" x14ac:dyDescent="0.25">
      <c r="A15" s="526"/>
      <c r="B15" s="531"/>
      <c r="C15" s="531"/>
      <c r="D15" s="531"/>
      <c r="E15" s="531"/>
      <c r="F15" s="531"/>
      <c r="G15" s="380"/>
      <c r="H15" s="508"/>
      <c r="I15" s="508"/>
      <c r="K15" s="508"/>
      <c r="L15" s="508"/>
      <c r="M15" s="507"/>
      <c r="O15" s="507"/>
      <c r="P15" s="187" t="s">
        <v>172</v>
      </c>
      <c r="Q15" s="180"/>
      <c r="R15" s="184"/>
      <c r="S15" s="468">
        <f>G7</f>
        <v>332</v>
      </c>
      <c r="T15" s="178" t="s">
        <v>135</v>
      </c>
      <c r="U15" s="509"/>
      <c r="V15" s="507"/>
      <c r="W15" s="507"/>
      <c r="X15" s="507"/>
      <c r="Y15" s="507"/>
      <c r="Z15" s="396"/>
      <c r="AA15" s="507"/>
      <c r="AB15" s="507"/>
      <c r="AC15" s="507"/>
      <c r="AD15" s="507"/>
      <c r="AE15" s="507"/>
    </row>
    <row r="16" spans="1:31" s="506" customFormat="1" outlineLevel="1" x14ac:dyDescent="0.25">
      <c r="A16" s="526"/>
      <c r="B16" s="531"/>
      <c r="C16" s="531"/>
      <c r="D16" s="531"/>
      <c r="E16" s="531"/>
      <c r="F16" s="531"/>
      <c r="G16" s="380"/>
      <c r="H16" s="508"/>
      <c r="I16" s="508"/>
      <c r="K16" s="508"/>
      <c r="L16" s="508"/>
      <c r="M16" s="507"/>
      <c r="O16" s="507"/>
      <c r="P16" s="187" t="s">
        <v>173</v>
      </c>
      <c r="Q16" s="180"/>
      <c r="R16" s="184"/>
      <c r="S16" s="188">
        <f>S14/S15</f>
        <v>0.30223378196443612</v>
      </c>
      <c r="T16" s="178"/>
      <c r="U16" s="509"/>
      <c r="V16" s="507"/>
      <c r="W16" s="507"/>
      <c r="X16" s="507"/>
      <c r="Y16" s="507"/>
      <c r="Z16" s="396"/>
      <c r="AA16" s="507"/>
      <c r="AB16" s="507"/>
      <c r="AC16" s="507"/>
      <c r="AD16" s="507"/>
      <c r="AE16" s="507"/>
    </row>
    <row r="17" spans="1:31" outlineLevel="1" x14ac:dyDescent="0.25">
      <c r="A17" s="526"/>
      <c r="B17" s="526"/>
      <c r="C17" s="526"/>
      <c r="D17" s="526"/>
      <c r="E17" s="526"/>
      <c r="F17" s="526"/>
      <c r="G17" s="531"/>
      <c r="H17" s="448"/>
      <c r="I17" s="498"/>
      <c r="K17" s="181"/>
      <c r="L17" s="181"/>
      <c r="M17" s="170"/>
      <c r="N17" s="171"/>
      <c r="O17" s="170"/>
      <c r="P17" s="187" t="s">
        <v>152</v>
      </c>
      <c r="Q17" s="180"/>
      <c r="R17" s="184"/>
      <c r="S17" s="189">
        <f>S14*G10*G11*24*365/1000</f>
        <v>818.34206662217491</v>
      </c>
      <c r="T17" s="190" t="s">
        <v>177</v>
      </c>
      <c r="U17" s="186"/>
      <c r="V17" s="122"/>
      <c r="W17" s="122"/>
      <c r="X17" s="122"/>
      <c r="Y17" s="122"/>
      <c r="Z17" s="130"/>
      <c r="AA17" s="122"/>
      <c r="AB17" s="122"/>
      <c r="AC17" s="122"/>
      <c r="AD17" s="122"/>
      <c r="AE17" s="122"/>
    </row>
    <row r="18" spans="1:31" outlineLevel="1" x14ac:dyDescent="0.25">
      <c r="A18" s="526"/>
      <c r="B18" s="526"/>
      <c r="C18" s="526"/>
      <c r="D18" s="526"/>
      <c r="E18" s="526"/>
      <c r="F18" s="526"/>
      <c r="G18" s="526"/>
      <c r="H18" s="181"/>
      <c r="I18" s="498"/>
      <c r="K18" s="181"/>
      <c r="L18" s="181"/>
      <c r="M18" s="170"/>
      <c r="N18" s="171"/>
      <c r="O18" s="170"/>
      <c r="P18" s="187" t="s">
        <v>175</v>
      </c>
      <c r="Q18" s="180"/>
      <c r="R18" s="184"/>
      <c r="S18" s="192">
        <f>S14/1.3</f>
        <v>77.18585816322522</v>
      </c>
      <c r="T18" s="193"/>
      <c r="U18" s="170"/>
      <c r="V18" s="122"/>
      <c r="W18" s="122"/>
      <c r="X18" s="122"/>
      <c r="Y18" s="122"/>
      <c r="Z18" s="130"/>
      <c r="AA18" s="122"/>
      <c r="AB18" s="122"/>
      <c r="AC18" s="122"/>
      <c r="AD18" s="122"/>
      <c r="AE18" s="122"/>
    </row>
    <row r="19" spans="1:31" ht="13" outlineLevel="1" x14ac:dyDescent="0.3">
      <c r="H19" s="170"/>
      <c r="I19" s="497"/>
      <c r="K19" s="170"/>
      <c r="L19" s="170"/>
      <c r="M19" s="170"/>
      <c r="N19" s="171"/>
      <c r="O19" s="170"/>
      <c r="U19" s="170"/>
      <c r="W19" s="125"/>
      <c r="X19" s="122"/>
      <c r="Y19" s="122"/>
      <c r="Z19" s="130"/>
      <c r="AA19" s="122"/>
      <c r="AB19" s="122"/>
      <c r="AC19" s="122"/>
      <c r="AD19" s="122"/>
      <c r="AE19" s="122"/>
    </row>
    <row r="20" spans="1:31" outlineLevel="1" x14ac:dyDescent="0.25">
      <c r="A20" s="170"/>
      <c r="B20" s="181"/>
      <c r="C20" s="181"/>
      <c r="D20" s="181"/>
      <c r="E20" s="181"/>
      <c r="F20" s="191"/>
      <c r="G20" s="191"/>
      <c r="H20" s="402"/>
      <c r="I20" s="500"/>
      <c r="J20" s="181"/>
      <c r="K20" s="181"/>
      <c r="L20" s="181"/>
      <c r="M20" s="170"/>
      <c r="N20" s="171"/>
      <c r="U20" s="170"/>
      <c r="W20" s="122"/>
      <c r="X20" s="122"/>
      <c r="Y20" s="132"/>
      <c r="Z20" s="127"/>
      <c r="AA20" s="122"/>
      <c r="AB20" s="122"/>
      <c r="AC20" s="122"/>
      <c r="AD20" s="122"/>
    </row>
    <row r="21" spans="1:31" ht="14" x14ac:dyDescent="0.3">
      <c r="A21" s="172" t="s">
        <v>287</v>
      </c>
      <c r="B21" s="194"/>
      <c r="C21" s="181"/>
      <c r="D21" s="181"/>
      <c r="E21" s="181"/>
      <c r="F21" s="191"/>
      <c r="G21" s="191"/>
      <c r="H21" s="402"/>
      <c r="I21" s="500"/>
      <c r="J21" s="181"/>
      <c r="K21" s="181"/>
      <c r="L21" s="181"/>
      <c r="M21" s="170"/>
      <c r="N21" s="171"/>
      <c r="O21" s="170"/>
      <c r="P21" s="170"/>
      <c r="Q21" s="170"/>
      <c r="R21" s="170"/>
      <c r="S21" s="195"/>
      <c r="T21" s="195"/>
      <c r="U21" s="170"/>
      <c r="W21" s="122"/>
      <c r="X21" s="122"/>
      <c r="Y21" s="122"/>
      <c r="Z21" s="127"/>
      <c r="AA21" s="132"/>
      <c r="AB21" s="122"/>
      <c r="AC21" s="122"/>
      <c r="AD21" s="122"/>
    </row>
    <row r="22" spans="1:31" s="568" customFormat="1" ht="14" x14ac:dyDescent="0.3">
      <c r="A22" s="571"/>
      <c r="B22" s="536"/>
      <c r="C22" s="572"/>
      <c r="D22" s="572"/>
      <c r="E22" s="572" t="s">
        <v>285</v>
      </c>
      <c r="F22" s="580"/>
      <c r="G22" s="580"/>
      <c r="H22" s="580"/>
      <c r="I22" s="580"/>
      <c r="J22" s="572"/>
      <c r="K22" s="572"/>
      <c r="L22" s="572"/>
      <c r="M22" s="569"/>
      <c r="O22" s="569"/>
      <c r="P22" s="569"/>
      <c r="Q22" s="569"/>
      <c r="R22" s="569"/>
      <c r="S22" s="535"/>
      <c r="T22" s="535"/>
      <c r="U22" s="569"/>
      <c r="W22" s="569"/>
      <c r="X22" s="569"/>
      <c r="Y22" s="569"/>
      <c r="Z22" s="527"/>
      <c r="AA22" s="579"/>
      <c r="AB22" s="569"/>
      <c r="AC22" s="569"/>
      <c r="AD22" s="569"/>
    </row>
    <row r="23" spans="1:31" ht="13" hidden="1" outlineLevel="1" x14ac:dyDescent="0.3">
      <c r="A23" s="170"/>
      <c r="D23" s="563"/>
      <c r="E23" s="564">
        <v>4.5</v>
      </c>
      <c r="F23" s="564">
        <v>5.5</v>
      </c>
      <c r="G23" s="564">
        <v>6.5</v>
      </c>
      <c r="H23" s="564">
        <v>7.5</v>
      </c>
      <c r="I23" s="564">
        <v>8.5</v>
      </c>
      <c r="J23" s="564">
        <v>9.5</v>
      </c>
      <c r="K23" s="564">
        <v>10.5</v>
      </c>
      <c r="L23" s="564">
        <v>11.5</v>
      </c>
      <c r="M23" s="564">
        <v>12.5</v>
      </c>
      <c r="N23" s="564">
        <v>13.5</v>
      </c>
      <c r="O23" s="564">
        <v>14.5</v>
      </c>
      <c r="P23" s="564">
        <v>15.5</v>
      </c>
      <c r="Q23" s="564">
        <v>16.5</v>
      </c>
      <c r="R23" s="564">
        <v>17.5</v>
      </c>
      <c r="S23" s="564">
        <v>18.5</v>
      </c>
      <c r="T23" s="564">
        <v>19.5</v>
      </c>
      <c r="U23" s="171"/>
      <c r="W23" s="122"/>
      <c r="X23" s="122"/>
      <c r="Y23" s="122"/>
      <c r="Z23" s="127"/>
      <c r="AA23" s="132"/>
      <c r="AB23" s="122"/>
      <c r="AC23" s="122"/>
      <c r="AD23" s="122"/>
    </row>
    <row r="24" spans="1:31" ht="13" hidden="1" outlineLevel="1" x14ac:dyDescent="0.3">
      <c r="A24" s="171"/>
      <c r="C24" s="123" t="s">
        <v>284</v>
      </c>
      <c r="D24" s="555">
        <v>0.25</v>
      </c>
      <c r="E24" s="584">
        <v>0</v>
      </c>
      <c r="F24" s="584">
        <v>0</v>
      </c>
      <c r="G24" s="584">
        <v>0</v>
      </c>
      <c r="H24" s="584">
        <v>0</v>
      </c>
      <c r="I24" s="584">
        <v>0</v>
      </c>
      <c r="J24" s="584">
        <v>0</v>
      </c>
      <c r="K24" s="584">
        <v>0</v>
      </c>
      <c r="L24" s="584">
        <v>0</v>
      </c>
      <c r="M24" s="584">
        <v>0</v>
      </c>
      <c r="N24" s="584">
        <v>0</v>
      </c>
      <c r="O24" s="584">
        <v>0</v>
      </c>
      <c r="P24" s="584">
        <v>0</v>
      </c>
      <c r="Q24" s="584">
        <v>0</v>
      </c>
      <c r="R24" s="584">
        <v>0</v>
      </c>
      <c r="S24" s="584">
        <v>0</v>
      </c>
      <c r="T24" s="584">
        <v>0</v>
      </c>
      <c r="U24" s="561">
        <f>SUM(E24:T24)</f>
        <v>0</v>
      </c>
      <c r="X24" s="122"/>
      <c r="Y24" s="122"/>
      <c r="Z24" s="127"/>
      <c r="AA24" s="122"/>
      <c r="AB24" s="122"/>
    </row>
    <row r="25" spans="1:31" ht="13" hidden="1" outlineLevel="1" x14ac:dyDescent="0.3">
      <c r="A25" s="171"/>
      <c r="D25" s="555">
        <v>0.75</v>
      </c>
      <c r="E25" s="584">
        <v>0</v>
      </c>
      <c r="F25" s="584">
        <v>4</v>
      </c>
      <c r="G25" s="584">
        <v>70</v>
      </c>
      <c r="H25" s="584">
        <v>101</v>
      </c>
      <c r="I25" s="584">
        <v>64</v>
      </c>
      <c r="J25" s="584">
        <v>67</v>
      </c>
      <c r="K25" s="584">
        <v>30</v>
      </c>
      <c r="L25" s="584">
        <v>4</v>
      </c>
      <c r="M25" s="584">
        <v>0</v>
      </c>
      <c r="N25" s="584">
        <v>1</v>
      </c>
      <c r="O25" s="584">
        <v>0</v>
      </c>
      <c r="P25" s="584">
        <v>1</v>
      </c>
      <c r="Q25" s="584">
        <v>0</v>
      </c>
      <c r="R25" s="584">
        <v>0</v>
      </c>
      <c r="S25" s="584">
        <v>0</v>
      </c>
      <c r="T25" s="584">
        <v>0</v>
      </c>
      <c r="U25" s="561">
        <f t="shared" ref="U25:U43" si="0">SUM(E25:T25)</f>
        <v>342</v>
      </c>
      <c r="X25" s="122"/>
      <c r="Y25" s="122"/>
      <c r="Z25" s="127"/>
      <c r="AA25" s="122"/>
      <c r="AB25" s="122"/>
    </row>
    <row r="26" spans="1:31" ht="13" hidden="1" outlineLevel="1" x14ac:dyDescent="0.3">
      <c r="A26" s="171"/>
      <c r="D26" s="555">
        <v>1.25</v>
      </c>
      <c r="E26" s="584">
        <v>2</v>
      </c>
      <c r="F26" s="584">
        <v>122</v>
      </c>
      <c r="G26" s="584">
        <v>342</v>
      </c>
      <c r="H26" s="584">
        <v>461</v>
      </c>
      <c r="I26" s="584">
        <v>510</v>
      </c>
      <c r="J26" s="584">
        <v>360</v>
      </c>
      <c r="K26" s="584">
        <v>182</v>
      </c>
      <c r="L26" s="584">
        <v>54</v>
      </c>
      <c r="M26" s="584">
        <v>14</v>
      </c>
      <c r="N26" s="584">
        <v>0</v>
      </c>
      <c r="O26" s="584">
        <v>0</v>
      </c>
      <c r="P26" s="584">
        <v>0</v>
      </c>
      <c r="Q26" s="584">
        <v>1</v>
      </c>
      <c r="R26" s="584">
        <v>1</v>
      </c>
      <c r="S26" s="584">
        <v>0</v>
      </c>
      <c r="T26" s="584">
        <v>0</v>
      </c>
      <c r="U26" s="561">
        <f t="shared" si="0"/>
        <v>2049</v>
      </c>
      <c r="X26" s="122"/>
      <c r="Y26" s="122"/>
      <c r="Z26" s="127"/>
      <c r="AA26" s="122"/>
      <c r="AB26" s="122"/>
    </row>
    <row r="27" spans="1:31" ht="13" hidden="1" outlineLevel="1" x14ac:dyDescent="0.3">
      <c r="A27" s="171"/>
      <c r="D27" s="555">
        <v>1.75</v>
      </c>
      <c r="E27" s="584">
        <v>0</v>
      </c>
      <c r="F27" s="584">
        <v>122</v>
      </c>
      <c r="G27" s="584">
        <v>553</v>
      </c>
      <c r="H27" s="584">
        <v>534</v>
      </c>
      <c r="I27" s="584">
        <v>513</v>
      </c>
      <c r="J27" s="584">
        <v>430</v>
      </c>
      <c r="K27" s="584">
        <v>252</v>
      </c>
      <c r="L27" s="584">
        <v>141</v>
      </c>
      <c r="M27" s="584">
        <v>80</v>
      </c>
      <c r="N27" s="584">
        <v>7</v>
      </c>
      <c r="O27" s="584">
        <v>0</v>
      </c>
      <c r="P27" s="584">
        <v>0</v>
      </c>
      <c r="Q27" s="584">
        <v>0</v>
      </c>
      <c r="R27" s="584">
        <v>1</v>
      </c>
      <c r="S27" s="584">
        <v>0</v>
      </c>
      <c r="T27" s="584">
        <v>0</v>
      </c>
      <c r="U27" s="561">
        <f t="shared" si="0"/>
        <v>2633</v>
      </c>
      <c r="X27" s="122"/>
      <c r="Y27" s="122"/>
      <c r="Z27" s="127"/>
      <c r="AA27" s="122"/>
      <c r="AB27" s="122"/>
    </row>
    <row r="28" spans="1:31" ht="13" hidden="1" outlineLevel="1" x14ac:dyDescent="0.3">
      <c r="A28" s="171"/>
      <c r="D28" s="555">
        <v>2.25</v>
      </c>
      <c r="E28" s="584">
        <v>0</v>
      </c>
      <c r="F28" s="584">
        <v>30</v>
      </c>
      <c r="G28" s="584">
        <v>437</v>
      </c>
      <c r="H28" s="584">
        <v>531</v>
      </c>
      <c r="I28" s="584">
        <v>454</v>
      </c>
      <c r="J28" s="584">
        <v>511</v>
      </c>
      <c r="K28" s="584">
        <v>395</v>
      </c>
      <c r="L28" s="584">
        <v>186</v>
      </c>
      <c r="M28" s="584">
        <v>148</v>
      </c>
      <c r="N28" s="584">
        <v>41</v>
      </c>
      <c r="O28" s="584">
        <v>4</v>
      </c>
      <c r="P28" s="584">
        <v>2</v>
      </c>
      <c r="Q28" s="584">
        <v>1</v>
      </c>
      <c r="R28" s="584">
        <v>0</v>
      </c>
      <c r="S28" s="584">
        <v>0</v>
      </c>
      <c r="T28" s="584">
        <v>0</v>
      </c>
      <c r="U28" s="561">
        <f t="shared" si="0"/>
        <v>2740</v>
      </c>
      <c r="W28" s="133"/>
      <c r="X28" s="122"/>
      <c r="Y28" s="122"/>
      <c r="AA28" s="122"/>
      <c r="AB28" s="122"/>
    </row>
    <row r="29" spans="1:31" ht="13" hidden="1" outlineLevel="1" x14ac:dyDescent="0.3">
      <c r="A29" s="171"/>
      <c r="D29" s="555">
        <v>2.75</v>
      </c>
      <c r="E29" s="584">
        <v>0</v>
      </c>
      <c r="F29" s="584">
        <v>1</v>
      </c>
      <c r="G29" s="584">
        <v>193</v>
      </c>
      <c r="H29" s="584">
        <v>314</v>
      </c>
      <c r="I29" s="584">
        <v>243</v>
      </c>
      <c r="J29" s="584">
        <v>407</v>
      </c>
      <c r="K29" s="584">
        <v>409</v>
      </c>
      <c r="L29" s="584">
        <v>220</v>
      </c>
      <c r="M29" s="584">
        <v>142</v>
      </c>
      <c r="N29" s="584">
        <v>47</v>
      </c>
      <c r="O29" s="584">
        <v>9</v>
      </c>
      <c r="P29" s="584">
        <v>8</v>
      </c>
      <c r="Q29" s="584">
        <v>0</v>
      </c>
      <c r="R29" s="584">
        <v>0</v>
      </c>
      <c r="S29" s="584">
        <v>0</v>
      </c>
      <c r="T29" s="584">
        <v>0</v>
      </c>
      <c r="U29" s="561">
        <f t="shared" si="0"/>
        <v>1993</v>
      </c>
      <c r="W29" s="134"/>
      <c r="X29" s="122"/>
      <c r="Y29" s="122"/>
      <c r="Z29" s="127"/>
      <c r="AA29" s="122"/>
      <c r="AB29" s="122"/>
    </row>
    <row r="30" spans="1:31" ht="13" hidden="1" outlineLevel="1" x14ac:dyDescent="0.3">
      <c r="A30" s="171"/>
      <c r="D30" s="555">
        <v>3.25</v>
      </c>
      <c r="E30" s="584">
        <v>0</v>
      </c>
      <c r="F30" s="584">
        <v>0</v>
      </c>
      <c r="G30" s="584">
        <v>15</v>
      </c>
      <c r="H30" s="584">
        <v>116</v>
      </c>
      <c r="I30" s="584">
        <v>115</v>
      </c>
      <c r="J30" s="584">
        <v>245</v>
      </c>
      <c r="K30" s="584">
        <v>298</v>
      </c>
      <c r="L30" s="584">
        <v>181</v>
      </c>
      <c r="M30" s="584">
        <v>101</v>
      </c>
      <c r="N30" s="584">
        <v>50</v>
      </c>
      <c r="O30" s="584">
        <v>18</v>
      </c>
      <c r="P30" s="584">
        <v>5</v>
      </c>
      <c r="Q30" s="584">
        <v>0</v>
      </c>
      <c r="R30" s="584">
        <v>0</v>
      </c>
      <c r="S30" s="584">
        <v>0</v>
      </c>
      <c r="T30" s="584">
        <v>0</v>
      </c>
      <c r="U30" s="561">
        <f t="shared" si="0"/>
        <v>1144</v>
      </c>
      <c r="W30" s="131"/>
      <c r="Z30" s="127"/>
    </row>
    <row r="31" spans="1:31" ht="13" hidden="1" outlineLevel="1" x14ac:dyDescent="0.3">
      <c r="A31" s="171"/>
      <c r="D31" s="555">
        <v>3.75</v>
      </c>
      <c r="E31" s="584">
        <v>0</v>
      </c>
      <c r="F31" s="584">
        <v>0</v>
      </c>
      <c r="G31" s="584">
        <v>2</v>
      </c>
      <c r="H31" s="584">
        <v>11</v>
      </c>
      <c r="I31" s="584">
        <v>29</v>
      </c>
      <c r="J31" s="584">
        <v>127</v>
      </c>
      <c r="K31" s="584">
        <v>242</v>
      </c>
      <c r="L31" s="584">
        <v>189</v>
      </c>
      <c r="M31" s="584">
        <v>66</v>
      </c>
      <c r="N31" s="584">
        <v>41</v>
      </c>
      <c r="O31" s="584">
        <v>28</v>
      </c>
      <c r="P31" s="584">
        <v>7</v>
      </c>
      <c r="Q31" s="584">
        <v>0</v>
      </c>
      <c r="R31" s="584">
        <v>0</v>
      </c>
      <c r="S31" s="584">
        <v>0</v>
      </c>
      <c r="T31" s="584">
        <v>0</v>
      </c>
      <c r="U31" s="561">
        <f t="shared" si="0"/>
        <v>742</v>
      </c>
      <c r="V31" s="122"/>
      <c r="W31" s="122"/>
      <c r="Z31" s="127"/>
    </row>
    <row r="32" spans="1:31" ht="13" hidden="1" outlineLevel="1" x14ac:dyDescent="0.3">
      <c r="A32" s="171"/>
      <c r="D32" s="555">
        <v>4.25</v>
      </c>
      <c r="E32" s="584">
        <v>0</v>
      </c>
      <c r="F32" s="584">
        <v>0</v>
      </c>
      <c r="G32" s="584">
        <v>0</v>
      </c>
      <c r="H32" s="584">
        <v>1</v>
      </c>
      <c r="I32" s="584">
        <v>6</v>
      </c>
      <c r="J32" s="584">
        <v>27</v>
      </c>
      <c r="K32" s="584">
        <v>125</v>
      </c>
      <c r="L32" s="584">
        <v>160</v>
      </c>
      <c r="M32" s="584">
        <v>69</v>
      </c>
      <c r="N32" s="584">
        <v>37</v>
      </c>
      <c r="O32" s="584">
        <v>19</v>
      </c>
      <c r="P32" s="584">
        <v>11</v>
      </c>
      <c r="Q32" s="584">
        <v>4</v>
      </c>
      <c r="R32" s="584">
        <v>0</v>
      </c>
      <c r="S32" s="584">
        <v>0</v>
      </c>
      <c r="T32" s="584">
        <v>0</v>
      </c>
      <c r="U32" s="561">
        <f t="shared" si="0"/>
        <v>459</v>
      </c>
      <c r="V32" s="122"/>
    </row>
    <row r="33" spans="1:22" ht="13" hidden="1" outlineLevel="1" x14ac:dyDescent="0.3">
      <c r="A33" s="171"/>
      <c r="D33" s="555">
        <v>4.75</v>
      </c>
      <c r="E33" s="584">
        <v>0</v>
      </c>
      <c r="F33" s="584">
        <v>0</v>
      </c>
      <c r="G33" s="584">
        <v>0</v>
      </c>
      <c r="H33" s="584">
        <v>0</v>
      </c>
      <c r="I33" s="584">
        <v>2</v>
      </c>
      <c r="J33" s="584">
        <v>5</v>
      </c>
      <c r="K33" s="584">
        <v>40</v>
      </c>
      <c r="L33" s="584">
        <v>55</v>
      </c>
      <c r="M33" s="584">
        <v>47</v>
      </c>
      <c r="N33" s="584">
        <v>29</v>
      </c>
      <c r="O33" s="584">
        <v>16</v>
      </c>
      <c r="P33" s="584">
        <v>8</v>
      </c>
      <c r="Q33" s="584">
        <v>1</v>
      </c>
      <c r="R33" s="584">
        <v>0</v>
      </c>
      <c r="S33" s="584">
        <v>0</v>
      </c>
      <c r="T33" s="584">
        <v>0</v>
      </c>
      <c r="U33" s="561">
        <f t="shared" si="0"/>
        <v>203</v>
      </c>
      <c r="V33" s="122"/>
    </row>
    <row r="34" spans="1:22" ht="13" hidden="1" outlineLevel="1" x14ac:dyDescent="0.3">
      <c r="A34" s="171"/>
      <c r="D34" s="555">
        <v>5.25</v>
      </c>
      <c r="E34" s="584">
        <v>0</v>
      </c>
      <c r="F34" s="584">
        <v>0</v>
      </c>
      <c r="G34" s="584">
        <v>0</v>
      </c>
      <c r="H34" s="584">
        <v>0</v>
      </c>
      <c r="I34" s="584">
        <v>0</v>
      </c>
      <c r="J34" s="584">
        <v>2</v>
      </c>
      <c r="K34" s="584">
        <v>16</v>
      </c>
      <c r="L34" s="584">
        <v>26</v>
      </c>
      <c r="M34" s="584">
        <v>32</v>
      </c>
      <c r="N34" s="584">
        <v>20</v>
      </c>
      <c r="O34" s="584">
        <v>8</v>
      </c>
      <c r="P34" s="584">
        <v>3</v>
      </c>
      <c r="Q34" s="584">
        <v>2</v>
      </c>
      <c r="R34" s="584">
        <v>0</v>
      </c>
      <c r="S34" s="584">
        <v>0</v>
      </c>
      <c r="T34" s="584">
        <v>0</v>
      </c>
      <c r="U34" s="561">
        <f t="shared" si="0"/>
        <v>109</v>
      </c>
      <c r="V34" s="122"/>
    </row>
    <row r="35" spans="1:22" ht="13" hidden="1" outlineLevel="1" x14ac:dyDescent="0.3">
      <c r="A35" s="171"/>
      <c r="D35" s="555">
        <v>5.75</v>
      </c>
      <c r="E35" s="584">
        <v>0</v>
      </c>
      <c r="F35" s="584">
        <v>0</v>
      </c>
      <c r="G35" s="584">
        <v>0</v>
      </c>
      <c r="H35" s="584">
        <v>0</v>
      </c>
      <c r="I35" s="584">
        <v>0</v>
      </c>
      <c r="J35" s="584">
        <v>1</v>
      </c>
      <c r="K35" s="584">
        <v>6</v>
      </c>
      <c r="L35" s="584">
        <v>19</v>
      </c>
      <c r="M35" s="584">
        <v>13</v>
      </c>
      <c r="N35" s="584">
        <v>18</v>
      </c>
      <c r="O35" s="584">
        <v>10</v>
      </c>
      <c r="P35" s="584">
        <v>1</v>
      </c>
      <c r="Q35" s="584">
        <v>1</v>
      </c>
      <c r="R35" s="584">
        <v>0</v>
      </c>
      <c r="S35" s="584">
        <v>0</v>
      </c>
      <c r="T35" s="584">
        <v>0</v>
      </c>
      <c r="U35" s="561">
        <f t="shared" si="0"/>
        <v>69</v>
      </c>
      <c r="V35" s="122"/>
    </row>
    <row r="36" spans="1:22" ht="13" hidden="1" outlineLevel="1" x14ac:dyDescent="0.3">
      <c r="A36" s="171"/>
      <c r="D36" s="555">
        <v>6.25</v>
      </c>
      <c r="E36" s="584">
        <v>0</v>
      </c>
      <c r="F36" s="584">
        <v>0</v>
      </c>
      <c r="G36" s="584">
        <v>0</v>
      </c>
      <c r="H36" s="584">
        <v>0</v>
      </c>
      <c r="I36" s="584">
        <v>0</v>
      </c>
      <c r="J36" s="584">
        <v>0</v>
      </c>
      <c r="K36" s="584">
        <v>3</v>
      </c>
      <c r="L36" s="584">
        <v>8</v>
      </c>
      <c r="M36" s="584">
        <v>10</v>
      </c>
      <c r="N36" s="584">
        <v>16</v>
      </c>
      <c r="O36" s="584">
        <v>6</v>
      </c>
      <c r="P36" s="584">
        <v>1</v>
      </c>
      <c r="Q36" s="584">
        <v>0</v>
      </c>
      <c r="R36" s="584">
        <v>0</v>
      </c>
      <c r="S36" s="584">
        <v>0</v>
      </c>
      <c r="T36" s="584">
        <v>0</v>
      </c>
      <c r="U36" s="561">
        <f t="shared" si="0"/>
        <v>44</v>
      </c>
    </row>
    <row r="37" spans="1:22" ht="13" hidden="1" outlineLevel="1" x14ac:dyDescent="0.3">
      <c r="A37" s="171"/>
      <c r="D37" s="555">
        <v>6.75</v>
      </c>
      <c r="E37" s="584">
        <v>0</v>
      </c>
      <c r="F37" s="584">
        <v>0</v>
      </c>
      <c r="G37" s="584">
        <v>0</v>
      </c>
      <c r="H37" s="584">
        <v>0</v>
      </c>
      <c r="I37" s="584">
        <v>0</v>
      </c>
      <c r="J37" s="584">
        <v>0</v>
      </c>
      <c r="K37" s="584">
        <v>0</v>
      </c>
      <c r="L37" s="584">
        <v>0</v>
      </c>
      <c r="M37" s="584">
        <v>2</v>
      </c>
      <c r="N37" s="584">
        <v>4</v>
      </c>
      <c r="O37" s="584">
        <v>1</v>
      </c>
      <c r="P37" s="584">
        <v>1</v>
      </c>
      <c r="Q37" s="584">
        <v>0</v>
      </c>
      <c r="R37" s="584">
        <v>0</v>
      </c>
      <c r="S37" s="584">
        <v>0</v>
      </c>
      <c r="T37" s="584">
        <v>0</v>
      </c>
      <c r="U37" s="561">
        <f t="shared" si="0"/>
        <v>8</v>
      </c>
    </row>
    <row r="38" spans="1:22" ht="13" hidden="1" outlineLevel="1" x14ac:dyDescent="0.3">
      <c r="A38" s="171"/>
      <c r="D38" s="555">
        <v>7.25</v>
      </c>
      <c r="E38" s="584">
        <v>0</v>
      </c>
      <c r="F38" s="584">
        <v>0</v>
      </c>
      <c r="G38" s="584">
        <v>0</v>
      </c>
      <c r="H38" s="584">
        <v>0</v>
      </c>
      <c r="I38" s="584">
        <v>0</v>
      </c>
      <c r="J38" s="584">
        <v>0</v>
      </c>
      <c r="K38" s="584">
        <v>0</v>
      </c>
      <c r="L38" s="584">
        <v>1</v>
      </c>
      <c r="M38" s="584">
        <v>1</v>
      </c>
      <c r="N38" s="584">
        <v>2</v>
      </c>
      <c r="O38" s="584">
        <v>1</v>
      </c>
      <c r="P38" s="584">
        <v>1</v>
      </c>
      <c r="Q38" s="584">
        <v>0</v>
      </c>
      <c r="R38" s="584">
        <v>0</v>
      </c>
      <c r="S38" s="584">
        <v>0</v>
      </c>
      <c r="T38" s="584">
        <v>0</v>
      </c>
      <c r="U38" s="561">
        <f t="shared" si="0"/>
        <v>6</v>
      </c>
    </row>
    <row r="39" spans="1:22" ht="13" hidden="1" outlineLevel="1" x14ac:dyDescent="0.3">
      <c r="A39" s="171"/>
      <c r="D39" s="555">
        <v>7.75</v>
      </c>
      <c r="E39" s="584">
        <v>0</v>
      </c>
      <c r="F39" s="584">
        <v>0</v>
      </c>
      <c r="G39" s="584">
        <v>0</v>
      </c>
      <c r="H39" s="584">
        <v>0</v>
      </c>
      <c r="I39" s="584">
        <v>0</v>
      </c>
      <c r="J39" s="584">
        <v>0</v>
      </c>
      <c r="K39" s="584">
        <v>0</v>
      </c>
      <c r="L39" s="584">
        <v>0</v>
      </c>
      <c r="M39" s="584">
        <v>0</v>
      </c>
      <c r="N39" s="584">
        <v>2</v>
      </c>
      <c r="O39" s="584">
        <v>1</v>
      </c>
      <c r="P39" s="584">
        <v>0</v>
      </c>
      <c r="Q39" s="584">
        <v>0</v>
      </c>
      <c r="R39" s="584">
        <v>0</v>
      </c>
      <c r="S39" s="584">
        <v>0</v>
      </c>
      <c r="T39" s="584">
        <v>0</v>
      </c>
      <c r="U39" s="561">
        <f t="shared" si="0"/>
        <v>3</v>
      </c>
    </row>
    <row r="40" spans="1:22" ht="13" hidden="1" outlineLevel="1" x14ac:dyDescent="0.3">
      <c r="A40" s="171"/>
      <c r="D40" s="555">
        <v>8.25</v>
      </c>
      <c r="E40" s="584">
        <v>0</v>
      </c>
      <c r="F40" s="584">
        <v>0</v>
      </c>
      <c r="G40" s="584">
        <v>0</v>
      </c>
      <c r="H40" s="584">
        <v>0</v>
      </c>
      <c r="I40" s="584">
        <v>0</v>
      </c>
      <c r="J40" s="584">
        <v>0</v>
      </c>
      <c r="K40" s="584">
        <v>0</v>
      </c>
      <c r="L40" s="584">
        <v>0</v>
      </c>
      <c r="M40" s="584">
        <v>0</v>
      </c>
      <c r="N40" s="584">
        <v>0</v>
      </c>
      <c r="O40" s="584">
        <v>1</v>
      </c>
      <c r="P40" s="584">
        <v>0</v>
      </c>
      <c r="Q40" s="584">
        <v>0</v>
      </c>
      <c r="R40" s="584">
        <v>0</v>
      </c>
      <c r="S40" s="584">
        <v>0</v>
      </c>
      <c r="T40" s="584">
        <v>0</v>
      </c>
      <c r="U40" s="561">
        <f t="shared" si="0"/>
        <v>1</v>
      </c>
    </row>
    <row r="41" spans="1:22" ht="13" hidden="1" outlineLevel="1" x14ac:dyDescent="0.3">
      <c r="A41" s="171"/>
      <c r="D41" s="555">
        <v>8.75</v>
      </c>
      <c r="E41" s="584">
        <v>0</v>
      </c>
      <c r="F41" s="584">
        <v>0</v>
      </c>
      <c r="G41" s="584">
        <v>0</v>
      </c>
      <c r="H41" s="584">
        <v>0</v>
      </c>
      <c r="I41" s="584">
        <v>0</v>
      </c>
      <c r="J41" s="584">
        <v>0</v>
      </c>
      <c r="K41" s="584">
        <v>0</v>
      </c>
      <c r="L41" s="584">
        <v>0</v>
      </c>
      <c r="M41" s="584">
        <v>0</v>
      </c>
      <c r="N41" s="584">
        <v>0</v>
      </c>
      <c r="O41" s="584">
        <v>2</v>
      </c>
      <c r="P41" s="584">
        <v>0</v>
      </c>
      <c r="Q41" s="584">
        <v>0</v>
      </c>
      <c r="R41" s="584">
        <v>0</v>
      </c>
      <c r="S41" s="584">
        <v>0</v>
      </c>
      <c r="T41" s="584">
        <v>0</v>
      </c>
      <c r="U41" s="561">
        <f t="shared" si="0"/>
        <v>2</v>
      </c>
    </row>
    <row r="42" spans="1:22" ht="13" hidden="1" outlineLevel="1" x14ac:dyDescent="0.3">
      <c r="A42" s="171"/>
      <c r="D42" s="555">
        <v>9.25</v>
      </c>
      <c r="E42" s="584">
        <v>0</v>
      </c>
      <c r="F42" s="584">
        <v>0</v>
      </c>
      <c r="G42" s="584">
        <v>0</v>
      </c>
      <c r="H42" s="584">
        <v>0</v>
      </c>
      <c r="I42" s="584">
        <v>0</v>
      </c>
      <c r="J42" s="584">
        <v>0</v>
      </c>
      <c r="K42" s="584">
        <v>0</v>
      </c>
      <c r="L42" s="584">
        <v>0</v>
      </c>
      <c r="M42" s="584">
        <v>0</v>
      </c>
      <c r="N42" s="584">
        <v>0</v>
      </c>
      <c r="O42" s="584">
        <v>0</v>
      </c>
      <c r="P42" s="584">
        <v>0</v>
      </c>
      <c r="Q42" s="584">
        <v>0</v>
      </c>
      <c r="R42" s="584">
        <v>0</v>
      </c>
      <c r="S42" s="584">
        <v>0</v>
      </c>
      <c r="T42" s="584">
        <v>0</v>
      </c>
      <c r="U42" s="561">
        <f t="shared" si="0"/>
        <v>0</v>
      </c>
    </row>
    <row r="43" spans="1:22" ht="13" hidden="1" outlineLevel="1" x14ac:dyDescent="0.3">
      <c r="A43" s="171"/>
      <c r="D43" s="555">
        <v>9.75</v>
      </c>
      <c r="E43" s="584">
        <v>0</v>
      </c>
      <c r="F43" s="584">
        <v>0</v>
      </c>
      <c r="G43" s="584">
        <v>0</v>
      </c>
      <c r="H43" s="584">
        <v>0</v>
      </c>
      <c r="I43" s="584">
        <v>0</v>
      </c>
      <c r="J43" s="584">
        <v>0</v>
      </c>
      <c r="K43" s="584">
        <v>0</v>
      </c>
      <c r="L43" s="584">
        <v>0</v>
      </c>
      <c r="M43" s="584">
        <v>0</v>
      </c>
      <c r="N43" s="584">
        <v>0</v>
      </c>
      <c r="O43" s="584">
        <v>0</v>
      </c>
      <c r="P43" s="584">
        <v>0</v>
      </c>
      <c r="Q43" s="584">
        <v>0</v>
      </c>
      <c r="R43" s="584">
        <v>0</v>
      </c>
      <c r="S43" s="584">
        <v>0</v>
      </c>
      <c r="T43" s="584">
        <v>0</v>
      </c>
      <c r="U43" s="561">
        <f t="shared" si="0"/>
        <v>0</v>
      </c>
    </row>
    <row r="44" spans="1:22" s="557" customFormat="1" ht="13" hidden="1" outlineLevel="1" x14ac:dyDescent="0.3">
      <c r="D44" s="555"/>
      <c r="E44" s="562">
        <f>SUM(E24:E43)</f>
        <v>2</v>
      </c>
      <c r="F44" s="562">
        <f t="shared" ref="F44:T44" si="1">SUM(F24:F43)</f>
        <v>279</v>
      </c>
      <c r="G44" s="562">
        <f t="shared" si="1"/>
        <v>1612</v>
      </c>
      <c r="H44" s="562">
        <f t="shared" si="1"/>
        <v>2069</v>
      </c>
      <c r="I44" s="562">
        <f t="shared" si="1"/>
        <v>1936</v>
      </c>
      <c r="J44" s="562">
        <f t="shared" si="1"/>
        <v>2182</v>
      </c>
      <c r="K44" s="562">
        <f t="shared" si="1"/>
        <v>1998</v>
      </c>
      <c r="L44" s="562">
        <f t="shared" si="1"/>
        <v>1244</v>
      </c>
      <c r="M44" s="562">
        <f t="shared" si="1"/>
        <v>725</v>
      </c>
      <c r="N44" s="562">
        <f t="shared" si="1"/>
        <v>315</v>
      </c>
      <c r="O44" s="562">
        <f t="shared" si="1"/>
        <v>124</v>
      </c>
      <c r="P44" s="562">
        <f t="shared" si="1"/>
        <v>49</v>
      </c>
      <c r="Q44" s="562">
        <f t="shared" si="1"/>
        <v>10</v>
      </c>
      <c r="R44" s="562">
        <f t="shared" si="1"/>
        <v>2</v>
      </c>
      <c r="S44" s="562">
        <f t="shared" si="1"/>
        <v>0</v>
      </c>
      <c r="T44" s="562">
        <f t="shared" si="1"/>
        <v>0</v>
      </c>
    </row>
    <row r="45" spans="1:22" s="568" customFormat="1" ht="13" hidden="1" outlineLevel="1" x14ac:dyDescent="0.3">
      <c r="D45" s="555"/>
      <c r="E45" s="581"/>
      <c r="F45" s="581"/>
      <c r="G45" s="581"/>
      <c r="H45" s="581"/>
      <c r="I45" s="581"/>
      <c r="J45" s="581"/>
      <c r="K45" s="581"/>
      <c r="L45" s="581"/>
      <c r="M45" s="581"/>
      <c r="N45" s="581"/>
      <c r="O45" s="581"/>
      <c r="P45" s="581"/>
      <c r="Q45" s="581"/>
      <c r="R45" s="581"/>
      <c r="S45" s="581"/>
      <c r="T45" s="581"/>
    </row>
    <row r="46" spans="1:22" s="568" customFormat="1" ht="13" hidden="1" outlineLevel="1" x14ac:dyDescent="0.3">
      <c r="A46" s="571" t="s">
        <v>286</v>
      </c>
    </row>
    <row r="47" spans="1:22" s="568" customFormat="1" ht="13" hidden="1" outlineLevel="1" x14ac:dyDescent="0.3">
      <c r="A47" s="571"/>
      <c r="E47" s="568" t="s">
        <v>285</v>
      </c>
    </row>
    <row r="48" spans="1:22" s="568" customFormat="1" ht="13" hidden="1" outlineLevel="1" x14ac:dyDescent="0.3">
      <c r="D48" s="582"/>
      <c r="E48" s="583">
        <v>4.5</v>
      </c>
      <c r="F48" s="583">
        <v>5.5</v>
      </c>
      <c r="G48" s="583">
        <v>6.5</v>
      </c>
      <c r="H48" s="583">
        <v>7.5</v>
      </c>
      <c r="I48" s="583">
        <v>8.5</v>
      </c>
      <c r="J48" s="583">
        <v>9.5</v>
      </c>
      <c r="K48" s="583">
        <v>10.5</v>
      </c>
      <c r="L48" s="583">
        <v>11.5</v>
      </c>
      <c r="M48" s="583">
        <v>12.5</v>
      </c>
      <c r="N48" s="583">
        <v>13.5</v>
      </c>
      <c r="O48" s="583">
        <v>14.5</v>
      </c>
      <c r="P48" s="583">
        <v>15.5</v>
      </c>
      <c r="Q48" s="583">
        <v>16.5</v>
      </c>
      <c r="R48" s="583">
        <v>17.5</v>
      </c>
      <c r="S48" s="583">
        <v>18.5</v>
      </c>
      <c r="T48" s="583">
        <v>19.5</v>
      </c>
    </row>
    <row r="49" spans="3:21" s="568" customFormat="1" ht="13" hidden="1" outlineLevel="1" x14ac:dyDescent="0.3">
      <c r="C49" s="568" t="s">
        <v>284</v>
      </c>
      <c r="D49" s="555">
        <v>0.25</v>
      </c>
      <c r="E49" s="552">
        <f>IF(E24&gt;0,0.49*E$23*$D24^2,0)</f>
        <v>0</v>
      </c>
      <c r="F49" s="552">
        <f t="shared" ref="F49:T49" si="2">IF(F24&gt;0,0.49*F$23*$D24^2,0)</f>
        <v>0</v>
      </c>
      <c r="G49" s="552">
        <f t="shared" si="2"/>
        <v>0</v>
      </c>
      <c r="H49" s="552">
        <f t="shared" si="2"/>
        <v>0</v>
      </c>
      <c r="I49" s="552">
        <f t="shared" si="2"/>
        <v>0</v>
      </c>
      <c r="J49" s="552">
        <f t="shared" si="2"/>
        <v>0</v>
      </c>
      <c r="K49" s="552">
        <f t="shared" si="2"/>
        <v>0</v>
      </c>
      <c r="L49" s="552">
        <f t="shared" si="2"/>
        <v>0</v>
      </c>
      <c r="M49" s="552">
        <f t="shared" si="2"/>
        <v>0</v>
      </c>
      <c r="N49" s="552">
        <f t="shared" si="2"/>
        <v>0</v>
      </c>
      <c r="O49" s="552">
        <f t="shared" si="2"/>
        <v>0</v>
      </c>
      <c r="P49" s="552">
        <f t="shared" si="2"/>
        <v>0</v>
      </c>
      <c r="Q49" s="552">
        <f t="shared" si="2"/>
        <v>0</v>
      </c>
      <c r="R49" s="552">
        <f t="shared" si="2"/>
        <v>0</v>
      </c>
      <c r="S49" s="552">
        <f t="shared" si="2"/>
        <v>0</v>
      </c>
      <c r="T49" s="552">
        <f t="shared" si="2"/>
        <v>0</v>
      </c>
      <c r="U49" s="537">
        <f>SUM(E49:T49)</f>
        <v>0</v>
      </c>
    </row>
    <row r="50" spans="3:21" s="568" customFormat="1" ht="13" hidden="1" outlineLevel="1" x14ac:dyDescent="0.3">
      <c r="D50" s="555">
        <v>0.75</v>
      </c>
      <c r="E50" s="552">
        <f t="shared" ref="E50:T68" si="3">IF(E25&gt;0,0.49*E$23*$D25^2,0)</f>
        <v>0</v>
      </c>
      <c r="F50" s="552">
        <f t="shared" si="3"/>
        <v>1.5159374999999999</v>
      </c>
      <c r="G50" s="552">
        <f t="shared" si="3"/>
        <v>1.7915624999999999</v>
      </c>
      <c r="H50" s="552">
        <f t="shared" si="3"/>
        <v>2.0671874999999997</v>
      </c>
      <c r="I50" s="552">
        <f t="shared" si="3"/>
        <v>2.3428125</v>
      </c>
      <c r="J50" s="552">
        <f t="shared" si="3"/>
        <v>2.6184375000000002</v>
      </c>
      <c r="K50" s="552">
        <f t="shared" si="3"/>
        <v>2.8940624999999995</v>
      </c>
      <c r="L50" s="552">
        <f t="shared" si="3"/>
        <v>3.1696874999999998</v>
      </c>
      <c r="M50" s="552">
        <f t="shared" si="3"/>
        <v>0</v>
      </c>
      <c r="N50" s="552">
        <f t="shared" si="3"/>
        <v>3.7209375000000002</v>
      </c>
      <c r="O50" s="552">
        <f t="shared" si="3"/>
        <v>0</v>
      </c>
      <c r="P50" s="552">
        <f t="shared" si="3"/>
        <v>4.2721875000000002</v>
      </c>
      <c r="Q50" s="552">
        <f t="shared" si="3"/>
        <v>0</v>
      </c>
      <c r="R50" s="552">
        <f t="shared" si="3"/>
        <v>0</v>
      </c>
      <c r="S50" s="552">
        <f t="shared" si="3"/>
        <v>0</v>
      </c>
      <c r="T50" s="552">
        <f t="shared" si="3"/>
        <v>0</v>
      </c>
      <c r="U50" s="537">
        <f t="shared" ref="U50:U68" si="4">SUM(E50:T50)</f>
        <v>24.392812500000002</v>
      </c>
    </row>
    <row r="51" spans="3:21" s="568" customFormat="1" ht="13" hidden="1" outlineLevel="1" x14ac:dyDescent="0.3">
      <c r="D51" s="555">
        <v>1.25</v>
      </c>
      <c r="E51" s="552">
        <f t="shared" si="3"/>
        <v>3.4453125</v>
      </c>
      <c r="F51" s="552">
        <f t="shared" si="3"/>
        <v>4.2109375</v>
      </c>
      <c r="G51" s="552">
        <f t="shared" si="3"/>
        <v>4.9765625</v>
      </c>
      <c r="H51" s="552">
        <f t="shared" si="3"/>
        <v>5.7421875</v>
      </c>
      <c r="I51" s="552">
        <f t="shared" si="3"/>
        <v>6.5078125</v>
      </c>
      <c r="J51" s="552">
        <f t="shared" si="3"/>
        <v>7.2734375</v>
      </c>
      <c r="K51" s="552">
        <f t="shared" si="3"/>
        <v>8.0390625</v>
      </c>
      <c r="L51" s="552">
        <f t="shared" si="3"/>
        <v>8.8046875</v>
      </c>
      <c r="M51" s="552">
        <f t="shared" si="3"/>
        <v>9.5703125</v>
      </c>
      <c r="N51" s="552">
        <f t="shared" si="3"/>
        <v>0</v>
      </c>
      <c r="O51" s="552">
        <f t="shared" si="3"/>
        <v>0</v>
      </c>
      <c r="P51" s="552">
        <f t="shared" si="3"/>
        <v>0</v>
      </c>
      <c r="Q51" s="552">
        <f t="shared" si="3"/>
        <v>12.632812499999998</v>
      </c>
      <c r="R51" s="552">
        <f t="shared" si="3"/>
        <v>13.398437499999998</v>
      </c>
      <c r="S51" s="552">
        <f t="shared" si="3"/>
        <v>0</v>
      </c>
      <c r="T51" s="552">
        <f t="shared" si="3"/>
        <v>0</v>
      </c>
      <c r="U51" s="537">
        <f t="shared" si="4"/>
        <v>84.6015625</v>
      </c>
    </row>
    <row r="52" spans="3:21" s="568" customFormat="1" ht="13" hidden="1" outlineLevel="1" x14ac:dyDescent="0.3">
      <c r="D52" s="555">
        <v>1.75</v>
      </c>
      <c r="E52" s="552">
        <f t="shared" si="3"/>
        <v>0</v>
      </c>
      <c r="F52" s="552">
        <f t="shared" si="3"/>
        <v>8.2534374999999986</v>
      </c>
      <c r="G52" s="552">
        <f t="shared" si="3"/>
        <v>9.7540624999999999</v>
      </c>
      <c r="H52" s="552">
        <f t="shared" si="3"/>
        <v>11.254687499999999</v>
      </c>
      <c r="I52" s="552">
        <f t="shared" si="3"/>
        <v>12.7553125</v>
      </c>
      <c r="J52" s="552">
        <f t="shared" si="3"/>
        <v>14.2559375</v>
      </c>
      <c r="K52" s="552">
        <f t="shared" si="3"/>
        <v>15.756562499999999</v>
      </c>
      <c r="L52" s="552">
        <f t="shared" si="3"/>
        <v>17.257187500000001</v>
      </c>
      <c r="M52" s="552">
        <f t="shared" si="3"/>
        <v>18.7578125</v>
      </c>
      <c r="N52" s="552">
        <f t="shared" si="3"/>
        <v>20.258437499999999</v>
      </c>
      <c r="O52" s="552">
        <f t="shared" si="3"/>
        <v>0</v>
      </c>
      <c r="P52" s="552">
        <f t="shared" si="3"/>
        <v>0</v>
      </c>
      <c r="Q52" s="552">
        <f t="shared" si="3"/>
        <v>0</v>
      </c>
      <c r="R52" s="552">
        <f t="shared" si="3"/>
        <v>26.260937499999997</v>
      </c>
      <c r="S52" s="552">
        <f t="shared" si="3"/>
        <v>0</v>
      </c>
      <c r="T52" s="552">
        <f t="shared" si="3"/>
        <v>0</v>
      </c>
      <c r="U52" s="537">
        <f t="shared" si="4"/>
        <v>154.56437499999998</v>
      </c>
    </row>
    <row r="53" spans="3:21" s="568" customFormat="1" ht="13" hidden="1" outlineLevel="1" x14ac:dyDescent="0.3">
      <c r="D53" s="555">
        <v>2.25</v>
      </c>
      <c r="E53" s="552">
        <f t="shared" si="3"/>
        <v>0</v>
      </c>
      <c r="F53" s="552">
        <f t="shared" si="3"/>
        <v>13.643437499999999</v>
      </c>
      <c r="G53" s="552">
        <f t="shared" si="3"/>
        <v>16.124062500000001</v>
      </c>
      <c r="H53" s="552">
        <f t="shared" si="3"/>
        <v>18.604687500000001</v>
      </c>
      <c r="I53" s="552">
        <f t="shared" si="3"/>
        <v>21.085312500000001</v>
      </c>
      <c r="J53" s="552">
        <f t="shared" si="3"/>
        <v>23.5659375</v>
      </c>
      <c r="K53" s="552">
        <f t="shared" si="3"/>
        <v>26.046562499999997</v>
      </c>
      <c r="L53" s="552">
        <f t="shared" si="3"/>
        <v>28.5271875</v>
      </c>
      <c r="M53" s="552">
        <f t="shared" si="3"/>
        <v>31.0078125</v>
      </c>
      <c r="N53" s="552">
        <f t="shared" si="3"/>
        <v>33.488437500000003</v>
      </c>
      <c r="O53" s="552">
        <f t="shared" si="3"/>
        <v>35.9690625</v>
      </c>
      <c r="P53" s="552">
        <f t="shared" si="3"/>
        <v>38.449687499999996</v>
      </c>
      <c r="Q53" s="552">
        <f t="shared" si="3"/>
        <v>40.930312499999992</v>
      </c>
      <c r="R53" s="552">
        <f t="shared" si="3"/>
        <v>0</v>
      </c>
      <c r="S53" s="552">
        <f t="shared" si="3"/>
        <v>0</v>
      </c>
      <c r="T53" s="552">
        <f t="shared" si="3"/>
        <v>0</v>
      </c>
      <c r="U53" s="537">
        <f t="shared" si="4"/>
        <v>327.4425</v>
      </c>
    </row>
    <row r="54" spans="3:21" s="568" customFormat="1" ht="13" hidden="1" outlineLevel="1" x14ac:dyDescent="0.3">
      <c r="D54" s="555">
        <v>2.75</v>
      </c>
      <c r="E54" s="552">
        <f t="shared" si="3"/>
        <v>0</v>
      </c>
      <c r="F54" s="552">
        <f t="shared" si="3"/>
        <v>20.380937499999998</v>
      </c>
      <c r="G54" s="552">
        <f t="shared" si="3"/>
        <v>24.086562499999999</v>
      </c>
      <c r="H54" s="552">
        <f t="shared" si="3"/>
        <v>27.792187499999997</v>
      </c>
      <c r="I54" s="552">
        <f t="shared" si="3"/>
        <v>31.497812500000002</v>
      </c>
      <c r="J54" s="552">
        <f t="shared" si="3"/>
        <v>35.2034375</v>
      </c>
      <c r="K54" s="552">
        <f t="shared" si="3"/>
        <v>38.909062499999997</v>
      </c>
      <c r="L54" s="552">
        <f t="shared" si="3"/>
        <v>42.614687499999995</v>
      </c>
      <c r="M54" s="552">
        <f t="shared" si="3"/>
        <v>46.3203125</v>
      </c>
      <c r="N54" s="552">
        <f t="shared" si="3"/>
        <v>50.025937500000005</v>
      </c>
      <c r="O54" s="552">
        <f t="shared" si="3"/>
        <v>53.731562499999995</v>
      </c>
      <c r="P54" s="552">
        <f t="shared" si="3"/>
        <v>57.4371875</v>
      </c>
      <c r="Q54" s="552">
        <f t="shared" si="3"/>
        <v>0</v>
      </c>
      <c r="R54" s="552">
        <f t="shared" si="3"/>
        <v>0</v>
      </c>
      <c r="S54" s="552">
        <f t="shared" si="3"/>
        <v>0</v>
      </c>
      <c r="T54" s="552">
        <f t="shared" si="3"/>
        <v>0</v>
      </c>
      <c r="U54" s="537">
        <f t="shared" si="4"/>
        <v>427.99968749999999</v>
      </c>
    </row>
    <row r="55" spans="3:21" s="568" customFormat="1" ht="13" hidden="1" outlineLevel="1" x14ac:dyDescent="0.3">
      <c r="D55" s="555">
        <v>3.25</v>
      </c>
      <c r="E55" s="552">
        <f t="shared" si="3"/>
        <v>0</v>
      </c>
      <c r="F55" s="552">
        <f t="shared" si="3"/>
        <v>0</v>
      </c>
      <c r="G55" s="552">
        <f t="shared" si="3"/>
        <v>33.641562499999999</v>
      </c>
      <c r="H55" s="552">
        <f t="shared" si="3"/>
        <v>38.817187499999996</v>
      </c>
      <c r="I55" s="552">
        <f t="shared" si="3"/>
        <v>43.992812499999999</v>
      </c>
      <c r="J55" s="552">
        <f t="shared" si="3"/>
        <v>49.168437500000003</v>
      </c>
      <c r="K55" s="552">
        <f t="shared" si="3"/>
        <v>54.344062499999993</v>
      </c>
      <c r="L55" s="552">
        <f t="shared" si="3"/>
        <v>59.519687499999996</v>
      </c>
      <c r="M55" s="552">
        <f t="shared" si="3"/>
        <v>64.6953125</v>
      </c>
      <c r="N55" s="552">
        <f t="shared" si="3"/>
        <v>69.870937499999997</v>
      </c>
      <c r="O55" s="552">
        <f t="shared" si="3"/>
        <v>75.046562499999993</v>
      </c>
      <c r="P55" s="552">
        <f t="shared" si="3"/>
        <v>80.222187500000004</v>
      </c>
      <c r="Q55" s="552">
        <f t="shared" si="3"/>
        <v>0</v>
      </c>
      <c r="R55" s="552">
        <f t="shared" si="3"/>
        <v>0</v>
      </c>
      <c r="S55" s="552">
        <f t="shared" si="3"/>
        <v>0</v>
      </c>
      <c r="T55" s="552">
        <f t="shared" si="3"/>
        <v>0</v>
      </c>
      <c r="U55" s="537">
        <f t="shared" si="4"/>
        <v>569.31874999999991</v>
      </c>
    </row>
    <row r="56" spans="3:21" s="568" customFormat="1" ht="13" hidden="1" outlineLevel="1" x14ac:dyDescent="0.3">
      <c r="D56" s="555">
        <v>3.75</v>
      </c>
      <c r="E56" s="552">
        <f t="shared" si="3"/>
        <v>0</v>
      </c>
      <c r="F56" s="552">
        <f t="shared" si="3"/>
        <v>0</v>
      </c>
      <c r="G56" s="552">
        <f t="shared" si="3"/>
        <v>44.7890625</v>
      </c>
      <c r="H56" s="552">
        <f t="shared" si="3"/>
        <v>51.6796875</v>
      </c>
      <c r="I56" s="552">
        <f t="shared" si="3"/>
        <v>58.5703125</v>
      </c>
      <c r="J56" s="552">
        <f t="shared" si="3"/>
        <v>65.4609375</v>
      </c>
      <c r="K56" s="552">
        <f t="shared" si="3"/>
        <v>72.3515625</v>
      </c>
      <c r="L56" s="552">
        <f t="shared" si="3"/>
        <v>79.2421875</v>
      </c>
      <c r="M56" s="552">
        <f t="shared" si="3"/>
        <v>86.1328125</v>
      </c>
      <c r="N56" s="552">
        <f t="shared" si="3"/>
        <v>93.0234375</v>
      </c>
      <c r="O56" s="552">
        <f t="shared" si="3"/>
        <v>99.9140625</v>
      </c>
      <c r="P56" s="552">
        <f t="shared" si="3"/>
        <v>106.8046875</v>
      </c>
      <c r="Q56" s="552">
        <f t="shared" si="3"/>
        <v>0</v>
      </c>
      <c r="R56" s="552">
        <f t="shared" si="3"/>
        <v>0</v>
      </c>
      <c r="S56" s="552">
        <f t="shared" si="3"/>
        <v>0</v>
      </c>
      <c r="T56" s="552">
        <f t="shared" si="3"/>
        <v>0</v>
      </c>
      <c r="U56" s="537">
        <f t="shared" si="4"/>
        <v>757.96875</v>
      </c>
    </row>
    <row r="57" spans="3:21" s="568" customFormat="1" ht="13" hidden="1" outlineLevel="1" x14ac:dyDescent="0.3">
      <c r="D57" s="555">
        <v>4.25</v>
      </c>
      <c r="E57" s="552">
        <f t="shared" si="3"/>
        <v>0</v>
      </c>
      <c r="F57" s="552">
        <f t="shared" si="3"/>
        <v>0</v>
      </c>
      <c r="G57" s="552">
        <f t="shared" si="3"/>
        <v>0</v>
      </c>
      <c r="H57" s="552">
        <f t="shared" si="3"/>
        <v>66.379687500000003</v>
      </c>
      <c r="I57" s="552">
        <f t="shared" si="3"/>
        <v>75.230312499999997</v>
      </c>
      <c r="J57" s="552">
        <f t="shared" si="3"/>
        <v>84.080937500000005</v>
      </c>
      <c r="K57" s="552">
        <f t="shared" si="3"/>
        <v>92.931562499999998</v>
      </c>
      <c r="L57" s="552">
        <f t="shared" si="3"/>
        <v>101.78218749999999</v>
      </c>
      <c r="M57" s="552">
        <f t="shared" si="3"/>
        <v>110.6328125</v>
      </c>
      <c r="N57" s="552">
        <f t="shared" si="3"/>
        <v>119.48343750000001</v>
      </c>
      <c r="O57" s="552">
        <f t="shared" si="3"/>
        <v>128.33406249999999</v>
      </c>
      <c r="P57" s="552">
        <f t="shared" si="3"/>
        <v>137.1846875</v>
      </c>
      <c r="Q57" s="552">
        <f t="shared" si="3"/>
        <v>146.03531249999997</v>
      </c>
      <c r="R57" s="552">
        <f t="shared" si="3"/>
        <v>0</v>
      </c>
      <c r="S57" s="552">
        <f t="shared" si="3"/>
        <v>0</v>
      </c>
      <c r="T57" s="552">
        <f t="shared" si="3"/>
        <v>0</v>
      </c>
      <c r="U57" s="537">
        <f t="shared" si="4"/>
        <v>1062.075</v>
      </c>
    </row>
    <row r="58" spans="3:21" s="568" customFormat="1" ht="13" hidden="1" outlineLevel="1" x14ac:dyDescent="0.3">
      <c r="D58" s="555">
        <v>4.75</v>
      </c>
      <c r="E58" s="552">
        <f t="shared" si="3"/>
        <v>0</v>
      </c>
      <c r="F58" s="552">
        <f t="shared" si="3"/>
        <v>0</v>
      </c>
      <c r="G58" s="552">
        <f t="shared" si="3"/>
        <v>0</v>
      </c>
      <c r="H58" s="552">
        <f t="shared" si="3"/>
        <v>0</v>
      </c>
      <c r="I58" s="552">
        <f t="shared" si="3"/>
        <v>93.972812500000003</v>
      </c>
      <c r="J58" s="552">
        <f t="shared" si="3"/>
        <v>105.02843750000001</v>
      </c>
      <c r="K58" s="552">
        <f t="shared" si="3"/>
        <v>116.08406249999999</v>
      </c>
      <c r="L58" s="552">
        <f t="shared" si="3"/>
        <v>127.13968749999999</v>
      </c>
      <c r="M58" s="552">
        <f t="shared" si="3"/>
        <v>138.1953125</v>
      </c>
      <c r="N58" s="552">
        <f t="shared" si="3"/>
        <v>149.25093749999999</v>
      </c>
      <c r="O58" s="552">
        <f t="shared" si="3"/>
        <v>160.30656249999998</v>
      </c>
      <c r="P58" s="552">
        <f t="shared" si="3"/>
        <v>171.3621875</v>
      </c>
      <c r="Q58" s="552">
        <f t="shared" si="3"/>
        <v>182.41781249999997</v>
      </c>
      <c r="R58" s="552">
        <f t="shared" si="3"/>
        <v>0</v>
      </c>
      <c r="S58" s="552">
        <f t="shared" si="3"/>
        <v>0</v>
      </c>
      <c r="T58" s="552">
        <f t="shared" si="3"/>
        <v>0</v>
      </c>
      <c r="U58" s="537">
        <f t="shared" si="4"/>
        <v>1243.7578124999995</v>
      </c>
    </row>
    <row r="59" spans="3:21" s="568" customFormat="1" ht="13" hidden="1" outlineLevel="1" x14ac:dyDescent="0.3">
      <c r="D59" s="555">
        <v>5.25</v>
      </c>
      <c r="E59" s="552">
        <f t="shared" si="3"/>
        <v>0</v>
      </c>
      <c r="F59" s="552">
        <f t="shared" si="3"/>
        <v>0</v>
      </c>
      <c r="G59" s="552">
        <f t="shared" si="3"/>
        <v>0</v>
      </c>
      <c r="H59" s="552">
        <f t="shared" si="3"/>
        <v>0</v>
      </c>
      <c r="I59" s="552">
        <f t="shared" si="3"/>
        <v>0</v>
      </c>
      <c r="J59" s="552">
        <f t="shared" si="3"/>
        <v>128.3034375</v>
      </c>
      <c r="K59" s="552">
        <f t="shared" si="3"/>
        <v>141.80906249999998</v>
      </c>
      <c r="L59" s="552">
        <f t="shared" si="3"/>
        <v>155.31468749999999</v>
      </c>
      <c r="M59" s="552">
        <f t="shared" si="3"/>
        <v>168.8203125</v>
      </c>
      <c r="N59" s="552">
        <f t="shared" si="3"/>
        <v>182.32593750000001</v>
      </c>
      <c r="O59" s="552">
        <f t="shared" si="3"/>
        <v>195.83156249999999</v>
      </c>
      <c r="P59" s="552">
        <f t="shared" si="3"/>
        <v>209.3371875</v>
      </c>
      <c r="Q59" s="552">
        <f t="shared" si="3"/>
        <v>222.84281249999998</v>
      </c>
      <c r="R59" s="552">
        <f t="shared" si="3"/>
        <v>0</v>
      </c>
      <c r="S59" s="552">
        <f t="shared" si="3"/>
        <v>0</v>
      </c>
      <c r="T59" s="552">
        <f t="shared" si="3"/>
        <v>0</v>
      </c>
      <c r="U59" s="537">
        <f t="shared" si="4"/>
        <v>1404.585</v>
      </c>
    </row>
    <row r="60" spans="3:21" s="568" customFormat="1" ht="13" hidden="1" outlineLevel="1" x14ac:dyDescent="0.3">
      <c r="D60" s="555">
        <v>5.75</v>
      </c>
      <c r="E60" s="552">
        <f t="shared" si="3"/>
        <v>0</v>
      </c>
      <c r="F60" s="552">
        <f t="shared" si="3"/>
        <v>0</v>
      </c>
      <c r="G60" s="552">
        <f t="shared" si="3"/>
        <v>0</v>
      </c>
      <c r="H60" s="552">
        <f t="shared" si="3"/>
        <v>0</v>
      </c>
      <c r="I60" s="552">
        <f t="shared" si="3"/>
        <v>0</v>
      </c>
      <c r="J60" s="552">
        <f t="shared" si="3"/>
        <v>153.90593750000002</v>
      </c>
      <c r="K60" s="552">
        <f t="shared" si="3"/>
        <v>170.1065625</v>
      </c>
      <c r="L60" s="552">
        <f t="shared" si="3"/>
        <v>186.3071875</v>
      </c>
      <c r="M60" s="552">
        <f t="shared" si="3"/>
        <v>202.5078125</v>
      </c>
      <c r="N60" s="552">
        <f t="shared" si="3"/>
        <v>218.7084375</v>
      </c>
      <c r="O60" s="552">
        <f t="shared" si="3"/>
        <v>234.90906249999998</v>
      </c>
      <c r="P60" s="552">
        <f t="shared" si="3"/>
        <v>251.10968749999998</v>
      </c>
      <c r="Q60" s="552">
        <f t="shared" si="3"/>
        <v>267.31031249999995</v>
      </c>
      <c r="R60" s="552">
        <f t="shared" si="3"/>
        <v>0</v>
      </c>
      <c r="S60" s="552">
        <f t="shared" si="3"/>
        <v>0</v>
      </c>
      <c r="T60" s="552">
        <f t="shared" si="3"/>
        <v>0</v>
      </c>
      <c r="U60" s="537">
        <f t="shared" si="4"/>
        <v>1684.865</v>
      </c>
    </row>
    <row r="61" spans="3:21" s="568" customFormat="1" ht="13" hidden="1" outlineLevel="1" x14ac:dyDescent="0.3">
      <c r="D61" s="555">
        <v>6.25</v>
      </c>
      <c r="E61" s="552">
        <f t="shared" si="3"/>
        <v>0</v>
      </c>
      <c r="F61" s="552">
        <f t="shared" si="3"/>
        <v>0</v>
      </c>
      <c r="G61" s="552">
        <f t="shared" si="3"/>
        <v>0</v>
      </c>
      <c r="H61" s="552">
        <f t="shared" si="3"/>
        <v>0</v>
      </c>
      <c r="I61" s="552">
        <f t="shared" si="3"/>
        <v>0</v>
      </c>
      <c r="J61" s="552">
        <f t="shared" si="3"/>
        <v>0</v>
      </c>
      <c r="K61" s="552">
        <f t="shared" si="3"/>
        <v>200.97656249999997</v>
      </c>
      <c r="L61" s="552">
        <f t="shared" si="3"/>
        <v>220.1171875</v>
      </c>
      <c r="M61" s="552">
        <f t="shared" si="3"/>
        <v>239.2578125</v>
      </c>
      <c r="N61" s="552">
        <f t="shared" si="3"/>
        <v>258.3984375</v>
      </c>
      <c r="O61" s="552">
        <f t="shared" si="3"/>
        <v>277.5390625</v>
      </c>
      <c r="P61" s="552">
        <f t="shared" si="3"/>
        <v>296.6796875</v>
      </c>
      <c r="Q61" s="552">
        <f t="shared" si="3"/>
        <v>0</v>
      </c>
      <c r="R61" s="552">
        <f t="shared" si="3"/>
        <v>0</v>
      </c>
      <c r="S61" s="552">
        <f t="shared" si="3"/>
        <v>0</v>
      </c>
      <c r="T61" s="552">
        <f t="shared" si="3"/>
        <v>0</v>
      </c>
      <c r="U61" s="537">
        <f t="shared" si="4"/>
        <v>1492.96875</v>
      </c>
    </row>
    <row r="62" spans="3:21" s="568" customFormat="1" ht="13" hidden="1" outlineLevel="1" x14ac:dyDescent="0.3">
      <c r="D62" s="555">
        <v>6.75</v>
      </c>
      <c r="E62" s="552">
        <f t="shared" si="3"/>
        <v>0</v>
      </c>
      <c r="F62" s="552">
        <f t="shared" si="3"/>
        <v>0</v>
      </c>
      <c r="G62" s="552">
        <f t="shared" si="3"/>
        <v>0</v>
      </c>
      <c r="H62" s="552">
        <f t="shared" si="3"/>
        <v>0</v>
      </c>
      <c r="I62" s="552">
        <f t="shared" si="3"/>
        <v>0</v>
      </c>
      <c r="J62" s="552">
        <f t="shared" si="3"/>
        <v>0</v>
      </c>
      <c r="K62" s="552">
        <f t="shared" si="3"/>
        <v>0</v>
      </c>
      <c r="L62" s="552">
        <f t="shared" si="3"/>
        <v>0</v>
      </c>
      <c r="M62" s="552">
        <f t="shared" si="3"/>
        <v>279.0703125</v>
      </c>
      <c r="N62" s="552">
        <f t="shared" si="3"/>
        <v>301.3959375</v>
      </c>
      <c r="O62" s="552">
        <f t="shared" si="3"/>
        <v>323.7215625</v>
      </c>
      <c r="P62" s="552">
        <f t="shared" si="3"/>
        <v>346.04718750000001</v>
      </c>
      <c r="Q62" s="552">
        <f t="shared" si="3"/>
        <v>0</v>
      </c>
      <c r="R62" s="552">
        <f t="shared" si="3"/>
        <v>0</v>
      </c>
      <c r="S62" s="552">
        <f t="shared" si="3"/>
        <v>0</v>
      </c>
      <c r="T62" s="552">
        <f t="shared" si="3"/>
        <v>0</v>
      </c>
      <c r="U62" s="537">
        <f t="shared" si="4"/>
        <v>1250.2349999999999</v>
      </c>
    </row>
    <row r="63" spans="3:21" s="568" customFormat="1" ht="13" hidden="1" outlineLevel="1" x14ac:dyDescent="0.3">
      <c r="D63" s="555">
        <v>7.25</v>
      </c>
      <c r="E63" s="552">
        <f t="shared" si="3"/>
        <v>0</v>
      </c>
      <c r="F63" s="552">
        <f t="shared" si="3"/>
        <v>0</v>
      </c>
      <c r="G63" s="552">
        <f t="shared" si="3"/>
        <v>0</v>
      </c>
      <c r="H63" s="552">
        <f t="shared" si="3"/>
        <v>0</v>
      </c>
      <c r="I63" s="552">
        <f t="shared" si="3"/>
        <v>0</v>
      </c>
      <c r="J63" s="552">
        <f t="shared" si="3"/>
        <v>0</v>
      </c>
      <c r="K63" s="552">
        <f t="shared" si="3"/>
        <v>0</v>
      </c>
      <c r="L63" s="552">
        <f t="shared" si="3"/>
        <v>296.18968749999999</v>
      </c>
      <c r="M63" s="552">
        <f t="shared" si="3"/>
        <v>321.9453125</v>
      </c>
      <c r="N63" s="552">
        <f t="shared" si="3"/>
        <v>347.70093750000001</v>
      </c>
      <c r="O63" s="552">
        <f t="shared" si="3"/>
        <v>373.45656249999996</v>
      </c>
      <c r="P63" s="552">
        <f t="shared" si="3"/>
        <v>399.21218749999997</v>
      </c>
      <c r="Q63" s="552">
        <f t="shared" si="3"/>
        <v>0</v>
      </c>
      <c r="R63" s="552">
        <f t="shared" si="3"/>
        <v>0</v>
      </c>
      <c r="S63" s="552">
        <f t="shared" si="3"/>
        <v>0</v>
      </c>
      <c r="T63" s="552">
        <f t="shared" si="3"/>
        <v>0</v>
      </c>
      <c r="U63" s="537">
        <f t="shared" si="4"/>
        <v>1738.5046875</v>
      </c>
    </row>
    <row r="64" spans="3:21" s="568" customFormat="1" ht="13" hidden="1" outlineLevel="1" x14ac:dyDescent="0.3">
      <c r="D64" s="555">
        <v>7.75</v>
      </c>
      <c r="E64" s="552">
        <f t="shared" si="3"/>
        <v>0</v>
      </c>
      <c r="F64" s="552">
        <f t="shared" si="3"/>
        <v>0</v>
      </c>
      <c r="G64" s="552">
        <f t="shared" si="3"/>
        <v>0</v>
      </c>
      <c r="H64" s="552">
        <f t="shared" si="3"/>
        <v>0</v>
      </c>
      <c r="I64" s="552">
        <f t="shared" si="3"/>
        <v>0</v>
      </c>
      <c r="J64" s="552">
        <f t="shared" si="3"/>
        <v>0</v>
      </c>
      <c r="K64" s="552">
        <f t="shared" si="3"/>
        <v>0</v>
      </c>
      <c r="L64" s="552">
        <f t="shared" si="3"/>
        <v>0</v>
      </c>
      <c r="M64" s="552">
        <f t="shared" si="3"/>
        <v>0</v>
      </c>
      <c r="N64" s="552">
        <f t="shared" si="3"/>
        <v>397.31343750000002</v>
      </c>
      <c r="O64" s="552">
        <f t="shared" si="3"/>
        <v>426.74406249999998</v>
      </c>
      <c r="P64" s="552">
        <f t="shared" si="3"/>
        <v>0</v>
      </c>
      <c r="Q64" s="552">
        <f t="shared" si="3"/>
        <v>0</v>
      </c>
      <c r="R64" s="552">
        <f t="shared" si="3"/>
        <v>0</v>
      </c>
      <c r="S64" s="552">
        <f t="shared" si="3"/>
        <v>0</v>
      </c>
      <c r="T64" s="552">
        <f t="shared" si="3"/>
        <v>0</v>
      </c>
      <c r="U64" s="537">
        <f t="shared" si="4"/>
        <v>824.0575</v>
      </c>
    </row>
    <row r="65" spans="1:21" s="568" customFormat="1" ht="13" hidden="1" outlineLevel="1" x14ac:dyDescent="0.3">
      <c r="D65" s="555">
        <v>8.25</v>
      </c>
      <c r="E65" s="552">
        <f t="shared" si="3"/>
        <v>0</v>
      </c>
      <c r="F65" s="552">
        <f t="shared" si="3"/>
        <v>0</v>
      </c>
      <c r="G65" s="552">
        <f t="shared" si="3"/>
        <v>0</v>
      </c>
      <c r="H65" s="552">
        <f t="shared" si="3"/>
        <v>0</v>
      </c>
      <c r="I65" s="552">
        <f t="shared" si="3"/>
        <v>0</v>
      </c>
      <c r="J65" s="552">
        <f t="shared" si="3"/>
        <v>0</v>
      </c>
      <c r="K65" s="552">
        <f t="shared" si="3"/>
        <v>0</v>
      </c>
      <c r="L65" s="552">
        <f t="shared" si="3"/>
        <v>0</v>
      </c>
      <c r="M65" s="552">
        <f t="shared" si="3"/>
        <v>0</v>
      </c>
      <c r="N65" s="552">
        <f t="shared" si="3"/>
        <v>0</v>
      </c>
      <c r="O65" s="552">
        <f t="shared" si="3"/>
        <v>483.58406249999996</v>
      </c>
      <c r="P65" s="552">
        <f t="shared" si="3"/>
        <v>0</v>
      </c>
      <c r="Q65" s="552">
        <f t="shared" ref="F65:T68" si="5">IF(Q40&gt;0,0.49*Q$23*$D40^2,0)</f>
        <v>0</v>
      </c>
      <c r="R65" s="552">
        <f t="shared" si="5"/>
        <v>0</v>
      </c>
      <c r="S65" s="552">
        <f t="shared" si="5"/>
        <v>0</v>
      </c>
      <c r="T65" s="552">
        <f t="shared" si="5"/>
        <v>0</v>
      </c>
      <c r="U65" s="537">
        <f t="shared" si="4"/>
        <v>483.58406249999996</v>
      </c>
    </row>
    <row r="66" spans="1:21" s="568" customFormat="1" ht="13" hidden="1" outlineLevel="1" x14ac:dyDescent="0.3">
      <c r="D66" s="555">
        <v>8.75</v>
      </c>
      <c r="E66" s="552">
        <f t="shared" si="3"/>
        <v>0</v>
      </c>
      <c r="F66" s="552">
        <f t="shared" si="5"/>
        <v>0</v>
      </c>
      <c r="G66" s="552">
        <f t="shared" si="5"/>
        <v>0</v>
      </c>
      <c r="H66" s="552">
        <f t="shared" si="5"/>
        <v>0</v>
      </c>
      <c r="I66" s="552">
        <f t="shared" si="5"/>
        <v>0</v>
      </c>
      <c r="J66" s="552">
        <f t="shared" si="5"/>
        <v>0</v>
      </c>
      <c r="K66" s="552">
        <f t="shared" si="5"/>
        <v>0</v>
      </c>
      <c r="L66" s="552">
        <f t="shared" si="5"/>
        <v>0</v>
      </c>
      <c r="M66" s="552">
        <f t="shared" si="5"/>
        <v>0</v>
      </c>
      <c r="N66" s="552">
        <f t="shared" si="5"/>
        <v>0</v>
      </c>
      <c r="O66" s="552">
        <f t="shared" si="5"/>
        <v>543.9765625</v>
      </c>
      <c r="P66" s="552">
        <f t="shared" si="5"/>
        <v>0</v>
      </c>
      <c r="Q66" s="552">
        <f t="shared" si="5"/>
        <v>0</v>
      </c>
      <c r="R66" s="552">
        <f t="shared" si="5"/>
        <v>0</v>
      </c>
      <c r="S66" s="552">
        <f t="shared" si="5"/>
        <v>0</v>
      </c>
      <c r="T66" s="552">
        <f t="shared" si="5"/>
        <v>0</v>
      </c>
      <c r="U66" s="537">
        <f t="shared" si="4"/>
        <v>543.9765625</v>
      </c>
    </row>
    <row r="67" spans="1:21" s="568" customFormat="1" ht="13" hidden="1" outlineLevel="1" x14ac:dyDescent="0.3">
      <c r="D67" s="555">
        <v>9.25</v>
      </c>
      <c r="E67" s="552">
        <f t="shared" si="3"/>
        <v>0</v>
      </c>
      <c r="F67" s="552">
        <f t="shared" si="5"/>
        <v>0</v>
      </c>
      <c r="G67" s="552">
        <f t="shared" si="5"/>
        <v>0</v>
      </c>
      <c r="H67" s="552">
        <f t="shared" si="5"/>
        <v>0</v>
      </c>
      <c r="I67" s="552">
        <f t="shared" si="5"/>
        <v>0</v>
      </c>
      <c r="J67" s="552">
        <f t="shared" si="5"/>
        <v>0</v>
      </c>
      <c r="K67" s="552">
        <f t="shared" si="5"/>
        <v>0</v>
      </c>
      <c r="L67" s="552">
        <f t="shared" si="5"/>
        <v>0</v>
      </c>
      <c r="M67" s="552">
        <f t="shared" si="5"/>
        <v>0</v>
      </c>
      <c r="N67" s="552">
        <f t="shared" si="5"/>
        <v>0</v>
      </c>
      <c r="O67" s="552">
        <f t="shared" si="5"/>
        <v>0</v>
      </c>
      <c r="P67" s="552">
        <f t="shared" si="5"/>
        <v>0</v>
      </c>
      <c r="Q67" s="552">
        <f t="shared" si="5"/>
        <v>0</v>
      </c>
      <c r="R67" s="552">
        <f t="shared" si="5"/>
        <v>0</v>
      </c>
      <c r="S67" s="552">
        <f t="shared" si="5"/>
        <v>0</v>
      </c>
      <c r="T67" s="552">
        <f t="shared" si="5"/>
        <v>0</v>
      </c>
      <c r="U67" s="537">
        <f t="shared" si="4"/>
        <v>0</v>
      </c>
    </row>
    <row r="68" spans="1:21" s="557" customFormat="1" ht="13" hidden="1" outlineLevel="1" x14ac:dyDescent="0.3">
      <c r="A68" s="568"/>
      <c r="B68" s="568"/>
      <c r="C68" s="568"/>
      <c r="D68" s="555">
        <v>9.75</v>
      </c>
      <c r="E68" s="552">
        <f t="shared" si="3"/>
        <v>0</v>
      </c>
      <c r="F68" s="552">
        <f t="shared" si="5"/>
        <v>0</v>
      </c>
      <c r="G68" s="552">
        <f t="shared" si="5"/>
        <v>0</v>
      </c>
      <c r="H68" s="552">
        <f t="shared" si="5"/>
        <v>0</v>
      </c>
      <c r="I68" s="552">
        <f t="shared" si="5"/>
        <v>0</v>
      </c>
      <c r="J68" s="552">
        <f t="shared" si="5"/>
        <v>0</v>
      </c>
      <c r="K68" s="552">
        <f t="shared" si="5"/>
        <v>0</v>
      </c>
      <c r="L68" s="552">
        <f t="shared" si="5"/>
        <v>0</v>
      </c>
      <c r="M68" s="552">
        <f t="shared" si="5"/>
        <v>0</v>
      </c>
      <c r="N68" s="552">
        <f t="shared" si="5"/>
        <v>0</v>
      </c>
      <c r="O68" s="552">
        <f t="shared" si="5"/>
        <v>0</v>
      </c>
      <c r="P68" s="552">
        <f t="shared" si="5"/>
        <v>0</v>
      </c>
      <c r="Q68" s="552">
        <f t="shared" si="5"/>
        <v>0</v>
      </c>
      <c r="R68" s="552">
        <f t="shared" si="5"/>
        <v>0</v>
      </c>
      <c r="S68" s="552">
        <f t="shared" si="5"/>
        <v>0</v>
      </c>
      <c r="T68" s="552">
        <f t="shared" si="5"/>
        <v>0</v>
      </c>
      <c r="U68" s="537">
        <f t="shared" si="4"/>
        <v>0</v>
      </c>
    </row>
    <row r="69" spans="1:21" s="557" customFormat="1" hidden="1" outlineLevel="1" x14ac:dyDescent="0.25">
      <c r="E69" s="537">
        <f>SUM(E49:E68)</f>
        <v>3.4453125</v>
      </c>
      <c r="F69" s="537">
        <f t="shared" ref="F69:T69" si="6">SUM(F49:F68)</f>
        <v>48.004687499999996</v>
      </c>
      <c r="G69" s="537">
        <f t="shared" si="6"/>
        <v>135.16343749999999</v>
      </c>
      <c r="H69" s="537">
        <f t="shared" si="6"/>
        <v>222.33749999999998</v>
      </c>
      <c r="I69" s="537">
        <f t="shared" si="6"/>
        <v>345.95531249999999</v>
      </c>
      <c r="J69" s="537">
        <f t="shared" si="6"/>
        <v>668.86531250000007</v>
      </c>
      <c r="K69" s="537">
        <f t="shared" si="6"/>
        <v>940.24874999999997</v>
      </c>
      <c r="L69" s="537">
        <f t="shared" si="6"/>
        <v>1325.9859375000001</v>
      </c>
      <c r="M69" s="537">
        <f t="shared" si="6"/>
        <v>1716.9140625</v>
      </c>
      <c r="N69" s="537">
        <f t="shared" si="6"/>
        <v>2244.9656249999998</v>
      </c>
      <c r="O69" s="537">
        <f t="shared" si="6"/>
        <v>3413.0643749999999</v>
      </c>
      <c r="P69" s="537">
        <f t="shared" si="6"/>
        <v>2098.1187500000001</v>
      </c>
      <c r="Q69" s="537">
        <f t="shared" si="6"/>
        <v>872.16937499999995</v>
      </c>
      <c r="R69" s="537">
        <f t="shared" si="6"/>
        <v>39.659374999999997</v>
      </c>
      <c r="S69" s="537">
        <f t="shared" si="6"/>
        <v>0</v>
      </c>
      <c r="T69" s="537">
        <f t="shared" si="6"/>
        <v>0</v>
      </c>
    </row>
    <row r="70" spans="1:21" s="557" customFormat="1" ht="13" hidden="1" outlineLevel="1" x14ac:dyDescent="0.3">
      <c r="A70" s="571" t="s">
        <v>282</v>
      </c>
    </row>
    <row r="71" spans="1:21" s="568" customFormat="1" ht="13" hidden="1" outlineLevel="1" x14ac:dyDescent="0.3">
      <c r="A71" s="571"/>
      <c r="E71" s="568" t="s">
        <v>285</v>
      </c>
    </row>
    <row r="72" spans="1:21" s="557" customFormat="1" ht="13" hidden="1" outlineLevel="1" x14ac:dyDescent="0.3">
      <c r="D72" s="563"/>
      <c r="E72" s="564">
        <v>4.5</v>
      </c>
      <c r="F72" s="564">
        <v>5.5</v>
      </c>
      <c r="G72" s="564">
        <v>6.5</v>
      </c>
      <c r="H72" s="564">
        <v>7.5</v>
      </c>
      <c r="I72" s="564">
        <v>8.5</v>
      </c>
      <c r="J72" s="564">
        <v>9.5</v>
      </c>
      <c r="K72" s="564">
        <v>10.5</v>
      </c>
      <c r="L72" s="564">
        <v>11.5</v>
      </c>
      <c r="M72" s="564">
        <v>12.5</v>
      </c>
      <c r="N72" s="564">
        <v>13.5</v>
      </c>
      <c r="O72" s="564">
        <v>14.5</v>
      </c>
      <c r="P72" s="564">
        <v>15.5</v>
      </c>
      <c r="Q72" s="564">
        <v>16.5</v>
      </c>
      <c r="R72" s="564">
        <v>17.5</v>
      </c>
      <c r="S72" s="564">
        <v>18.5</v>
      </c>
      <c r="T72" s="564">
        <v>19.5</v>
      </c>
    </row>
    <row r="73" spans="1:21" s="557" customFormat="1" ht="13" hidden="1" outlineLevel="1" x14ac:dyDescent="0.3">
      <c r="C73" s="557" t="s">
        <v>284</v>
      </c>
      <c r="D73" s="555">
        <v>0.25</v>
      </c>
      <c r="E73" s="550">
        <v>0.45136794239086453</v>
      </c>
      <c r="F73" s="550">
        <v>0.74493178795503456</v>
      </c>
      <c r="G73" s="550">
        <v>1.0399242995588902</v>
      </c>
      <c r="H73" s="550">
        <v>1.2836977846045259</v>
      </c>
      <c r="I73" s="550">
        <v>1.395163023312358</v>
      </c>
      <c r="J73" s="550">
        <v>1.357572999714304</v>
      </c>
      <c r="K73" s="550">
        <v>1.2232166161494915</v>
      </c>
      <c r="L73" s="550">
        <v>1.0501940091651099</v>
      </c>
      <c r="M73" s="550">
        <v>0.87626985984930295</v>
      </c>
      <c r="N73" s="550">
        <v>0.72010758026590005</v>
      </c>
      <c r="O73" s="550">
        <v>0.58829414929090518</v>
      </c>
      <c r="P73" s="550">
        <v>0.48025576694439709</v>
      </c>
      <c r="Q73" s="550">
        <v>0.39325772089067096</v>
      </c>
      <c r="R73" s="550">
        <v>0.32357566227710172</v>
      </c>
      <c r="S73" s="550">
        <v>0.26776845237615565</v>
      </c>
      <c r="T73" s="550">
        <v>0.22294201257368948</v>
      </c>
    </row>
    <row r="74" spans="1:21" s="557" customFormat="1" ht="13" hidden="1" outlineLevel="1" x14ac:dyDescent="0.3">
      <c r="D74" s="555">
        <v>0.75</v>
      </c>
      <c r="E74" s="550">
        <v>4.0559553916043258</v>
      </c>
      <c r="F74" s="550">
        <v>6.682582086915998</v>
      </c>
      <c r="G74" s="550">
        <v>9.2955045691470684</v>
      </c>
      <c r="H74" s="550">
        <v>11.396217420505916</v>
      </c>
      <c r="I74" s="550">
        <v>12.30448560841873</v>
      </c>
      <c r="J74" s="550">
        <v>11.930978920772821</v>
      </c>
      <c r="K74" s="550">
        <v>10.742680722556418</v>
      </c>
      <c r="L74" s="550">
        <v>9.2285137064097249</v>
      </c>
      <c r="M74" s="550">
        <v>7.7086927361470661</v>
      </c>
      <c r="N74" s="550">
        <v>6.3429538358316311</v>
      </c>
      <c r="O74" s="550">
        <v>5.1870021732473575</v>
      </c>
      <c r="P74" s="550">
        <v>4.2409391156426643</v>
      </c>
      <c r="Q74" s="550">
        <v>3.4769762776878945</v>
      </c>
      <c r="R74" s="550">
        <v>2.8636617283268988</v>
      </c>
      <c r="S74" s="550">
        <v>2.3729246400907682</v>
      </c>
      <c r="T74" s="550">
        <v>1.978451866168714</v>
      </c>
    </row>
    <row r="75" spans="1:21" s="557" customFormat="1" ht="13" hidden="1" outlineLevel="1" x14ac:dyDescent="0.3">
      <c r="D75" s="555">
        <v>1.25</v>
      </c>
      <c r="E75" s="550">
        <v>11.23967239070876</v>
      </c>
      <c r="F75" s="550">
        <v>18.48730809441907</v>
      </c>
      <c r="G75" s="550">
        <v>25.623064604399985</v>
      </c>
      <c r="H75" s="550">
        <v>31.220748991802001</v>
      </c>
      <c r="I75" s="550">
        <v>33.510732556807596</v>
      </c>
      <c r="J75" s="550">
        <v>32.393614979410138</v>
      </c>
      <c r="K75" s="550">
        <v>29.143101510082104</v>
      </c>
      <c r="L75" s="550">
        <v>25.048614045265442</v>
      </c>
      <c r="M75" s="550">
        <v>20.94412482148477</v>
      </c>
      <c r="N75" s="550">
        <v>17.252531796064748</v>
      </c>
      <c r="O75" s="550">
        <v>14.123540988375272</v>
      </c>
      <c r="P75" s="550">
        <v>11.556627326725481</v>
      </c>
      <c r="Q75" s="550">
        <v>9.4850056144360781</v>
      </c>
      <c r="R75" s="550">
        <v>7.8233223212389955</v>
      </c>
      <c r="S75" s="550">
        <v>6.4879818106978595</v>
      </c>
      <c r="T75" s="550">
        <v>5.4154735197410657</v>
      </c>
    </row>
    <row r="76" spans="1:21" s="557" customFormat="1" ht="13" hidden="1" outlineLevel="1" x14ac:dyDescent="0.3">
      <c r="D76" s="555">
        <v>1.75</v>
      </c>
      <c r="E76" s="550">
        <v>21.974582097122472</v>
      </c>
      <c r="F76" s="550">
        <v>36.084013947009758</v>
      </c>
      <c r="G76" s="550">
        <v>49.839844661830213</v>
      </c>
      <c r="H76" s="550">
        <v>60.373898109892359</v>
      </c>
      <c r="I76" s="550">
        <v>64.472180407091898</v>
      </c>
      <c r="J76" s="550">
        <v>62.149612211523468</v>
      </c>
      <c r="K76" s="550">
        <v>55.879372463038216</v>
      </c>
      <c r="L76" s="550">
        <v>48.045489519655987</v>
      </c>
      <c r="M76" s="550">
        <v>40.20924522708011</v>
      </c>
      <c r="N76" s="550">
        <v>33.154990249574368</v>
      </c>
      <c r="O76" s="550">
        <v>27.16820997632205</v>
      </c>
      <c r="P76" s="550">
        <v>22.251611520679905</v>
      </c>
      <c r="Q76" s="550">
        <v>18.275227552272781</v>
      </c>
      <c r="R76" s="550">
        <v>15.088546508489541</v>
      </c>
      <c r="S76" s="550">
        <v>12.530152641900528</v>
      </c>
      <c r="T76" s="550">
        <v>10.465999279947846</v>
      </c>
    </row>
    <row r="77" spans="1:21" s="557" customFormat="1" ht="13" hidden="1" outlineLevel="1" x14ac:dyDescent="0.3">
      <c r="D77" s="555">
        <v>2.25</v>
      </c>
      <c r="E77" s="550">
        <v>36.233138921226242</v>
      </c>
      <c r="F77" s="550">
        <v>59.399202153734429</v>
      </c>
      <c r="G77" s="550">
        <v>81.765555013493525</v>
      </c>
      <c r="H77" s="550">
        <v>98.526916344942535</v>
      </c>
      <c r="I77" s="550">
        <v>104.72571112696509</v>
      </c>
      <c r="J77" s="550">
        <v>100.70488675151721</v>
      </c>
      <c r="K77" s="550">
        <v>90.478716070398093</v>
      </c>
      <c r="L77" s="550">
        <v>77.837008595591328</v>
      </c>
      <c r="M77" s="550">
        <v>65.196553739578874</v>
      </c>
      <c r="N77" s="550">
        <v>53.807747536950131</v>
      </c>
      <c r="O77" s="550">
        <v>44.119363833068881</v>
      </c>
      <c r="P77" s="550">
        <v>36.166823017562784</v>
      </c>
      <c r="Q77" s="550">
        <v>29.738362631890453</v>
      </c>
      <c r="R77" s="550">
        <v>24.568086689994661</v>
      </c>
      <c r="S77" s="550">
        <v>20.421112600826479</v>
      </c>
      <c r="T77" s="550">
        <v>17.072698097808264</v>
      </c>
    </row>
    <row r="78" spans="1:21" s="557" customFormat="1" ht="13" hidden="1" outlineLevel="1" x14ac:dyDescent="0.3">
      <c r="D78" s="555">
        <v>2.75</v>
      </c>
      <c r="E78" s="550">
        <v>53.988380160524898</v>
      </c>
      <c r="F78" s="550">
        <v>88.361260409669967</v>
      </c>
      <c r="G78" s="550">
        <v>121.24153235896883</v>
      </c>
      <c r="H78" s="550">
        <v>145.37266413648888</v>
      </c>
      <c r="I78" s="550">
        <v>153.87792095101517</v>
      </c>
      <c r="J78" s="550">
        <v>147.64100052843688</v>
      </c>
      <c r="K78" s="550">
        <v>132.57726934584494</v>
      </c>
      <c r="L78" s="550">
        <v>114.10033778034254</v>
      </c>
      <c r="M78" s="550">
        <v>95.625147522578303</v>
      </c>
      <c r="N78" s="550">
        <v>78.988574651640747</v>
      </c>
      <c r="O78" s="550">
        <v>64.836468570549584</v>
      </c>
      <c r="P78" s="550">
        <v>53.177769131856913</v>
      </c>
      <c r="Q78" s="550">
        <v>43.761666881391186</v>
      </c>
      <c r="R78" s="550">
        <v>36.183227374416575</v>
      </c>
      <c r="S78" s="550">
        <v>30.101416417292764</v>
      </c>
      <c r="T78" s="550">
        <v>25.186894775238741</v>
      </c>
    </row>
    <row r="79" spans="1:21" s="557" customFormat="1" ht="13" hidden="1" outlineLevel="1" x14ac:dyDescent="0.3">
      <c r="D79" s="555">
        <v>3.25</v>
      </c>
      <c r="E79" s="550">
        <v>75.214386944221346</v>
      </c>
      <c r="F79" s="550">
        <v>122.89969273018343</v>
      </c>
      <c r="G79" s="550">
        <v>168.09447408606854</v>
      </c>
      <c r="H79" s="550">
        <v>200.63424245816586</v>
      </c>
      <c r="I79" s="550">
        <v>211.56839544507122</v>
      </c>
      <c r="J79" s="550">
        <v>202.59348912726921</v>
      </c>
      <c r="K79" s="550">
        <v>181.83897887454842</v>
      </c>
      <c r="L79" s="550">
        <v>156.53432979654013</v>
      </c>
      <c r="M79" s="550">
        <v>131.30985483795178</v>
      </c>
      <c r="N79" s="550">
        <v>108.52758876299885</v>
      </c>
      <c r="O79" s="550">
        <v>89.15311750166704</v>
      </c>
      <c r="P79" s="550">
        <v>73.176184651145846</v>
      </c>
      <c r="Q79" s="550">
        <v>60.265265276857086</v>
      </c>
      <c r="R79" s="550">
        <v>49.867267075117489</v>
      </c>
      <c r="S79" s="550">
        <v>41.505103365788962</v>
      </c>
      <c r="T79" s="550">
        <v>34.767398388379014</v>
      </c>
    </row>
    <row r="80" spans="1:21" s="557" customFormat="1" ht="13" hidden="1" outlineLevel="1" x14ac:dyDescent="0.3">
      <c r="D80" s="555">
        <v>3.75</v>
      </c>
      <c r="E80" s="550">
        <v>99.884257003185198</v>
      </c>
      <c r="F80" s="550">
        <v>162.94547346545286</v>
      </c>
      <c r="G80" s="550">
        <v>222.19636953740132</v>
      </c>
      <c r="H80" s="550">
        <v>264.05677897361306</v>
      </c>
      <c r="I80" s="550">
        <v>277.49447974727934</v>
      </c>
      <c r="J80" s="550">
        <v>265.23482168104465</v>
      </c>
      <c r="K80" s="550">
        <v>237.94983492215297</v>
      </c>
      <c r="L80" s="550">
        <v>204.94234562634739</v>
      </c>
      <c r="M80" s="550">
        <v>172.00959158786677</v>
      </c>
      <c r="N80" s="550">
        <v>142.27271019051545</v>
      </c>
      <c r="O80" s="550">
        <v>116.96319289824623</v>
      </c>
      <c r="P80" s="550">
        <v>96.071732223725419</v>
      </c>
      <c r="Q80" s="550">
        <v>79.177165088929442</v>
      </c>
      <c r="R80" s="550">
        <v>65.56449291512601</v>
      </c>
      <c r="S80" s="550">
        <v>54.610563280425602</v>
      </c>
      <c r="T80" s="550">
        <v>45.763452433450659</v>
      </c>
    </row>
    <row r="81" spans="1:20" s="488" customFormat="1" ht="13" hidden="1" outlineLevel="1" x14ac:dyDescent="0.3">
      <c r="D81" s="555">
        <v>4.25</v>
      </c>
      <c r="E81" s="550">
        <v>127.97191970600217</v>
      </c>
      <c r="F81" s="550">
        <v>208.43102498523214</v>
      </c>
      <c r="G81" s="550">
        <v>283.38633669162084</v>
      </c>
      <c r="H81" s="550">
        <v>335.40241912797802</v>
      </c>
      <c r="I81" s="550">
        <v>351.37157924591446</v>
      </c>
      <c r="J81" s="550">
        <v>335.28650062695147</v>
      </c>
      <c r="K81" s="550">
        <v>300.66955156622106</v>
      </c>
      <c r="L81" s="550">
        <v>259.0602991098213</v>
      </c>
      <c r="M81" s="550">
        <v>217.57569955753721</v>
      </c>
      <c r="N81" s="550">
        <v>180.13751523835703</v>
      </c>
      <c r="O81" s="550">
        <v>148.16476484397131</v>
      </c>
      <c r="P81" s="550">
        <v>121.78454108468463</v>
      </c>
      <c r="Q81" s="550">
        <v>100.43514422829887</v>
      </c>
      <c r="R81" s="550">
        <v>83.226250333832056</v>
      </c>
      <c r="S81" s="550">
        <v>69.370855460292475</v>
      </c>
      <c r="T81" s="550">
        <v>58.173364079585568</v>
      </c>
    </row>
    <row r="82" spans="1:20" s="488" customFormat="1" ht="13" hidden="1" outlineLevel="1" x14ac:dyDescent="0.3">
      <c r="D82" s="555">
        <v>4.75</v>
      </c>
      <c r="E82" s="550">
        <v>159.45165509858492</v>
      </c>
      <c r="F82" s="550">
        <v>259.28897138898748</v>
      </c>
      <c r="G82" s="550">
        <v>351.51386592815493</v>
      </c>
      <c r="H82" s="550">
        <v>414.45521843170354</v>
      </c>
      <c r="I82" s="550">
        <v>432.94827425211543</v>
      </c>
      <c r="J82" s="550">
        <v>412.5172551189126</v>
      </c>
      <c r="K82" s="550">
        <v>369.82742340093</v>
      </c>
      <c r="L82" s="550">
        <v>318.72670451897</v>
      </c>
      <c r="M82" s="550">
        <v>267.86430221028201</v>
      </c>
      <c r="N82" s="550">
        <v>221.88357824419421</v>
      </c>
      <c r="O82" s="550">
        <v>182.67196835772612</v>
      </c>
      <c r="P82" s="550">
        <v>150.24855874962478</v>
      </c>
      <c r="Q82" s="550">
        <v>123.9539567734477</v>
      </c>
      <c r="R82" s="550">
        <v>102.80999853407918</v>
      </c>
      <c r="S82" s="550">
        <v>85.751770704958076</v>
      </c>
      <c r="T82" s="550">
        <v>71.958675150387933</v>
      </c>
    </row>
    <row r="83" spans="1:20" s="488" customFormat="1" ht="13" hidden="1" outlineLevel="1" x14ac:dyDescent="0.3">
      <c r="D83" s="555">
        <v>5.25</v>
      </c>
      <c r="E83" s="550">
        <v>194.29776403268957</v>
      </c>
      <c r="F83" s="550">
        <v>315.45540904109777</v>
      </c>
      <c r="G83" s="550">
        <v>426.47933232519068</v>
      </c>
      <c r="H83" s="550">
        <v>501.06360754380466</v>
      </c>
      <c r="I83" s="550">
        <v>521.9970197843046</v>
      </c>
      <c r="J83" s="550">
        <v>496.67805236817935</v>
      </c>
      <c r="K83" s="550">
        <v>445.14351827228921</v>
      </c>
      <c r="L83" s="550">
        <v>383.77922240281441</v>
      </c>
      <c r="M83" s="550">
        <v>322.74822116139961</v>
      </c>
      <c r="N83" s="550">
        <v>267.53977147381568</v>
      </c>
      <c r="O83" s="550">
        <v>220.40939683391628</v>
      </c>
      <c r="P83" s="550">
        <v>181.40736602135692</v>
      </c>
      <c r="Q83" s="550">
        <v>149.75518756641441</v>
      </c>
      <c r="R83" s="550">
        <v>124.24950283497296</v>
      </c>
      <c r="S83" s="550">
        <v>103.69601965529351</v>
      </c>
      <c r="T83" s="550">
        <v>87.069140452042831</v>
      </c>
    </row>
    <row r="84" spans="1:20" s="488" customFormat="1" ht="13" hidden="1" outlineLevel="1" x14ac:dyDescent="0.3">
      <c r="D84" s="555">
        <v>5.75</v>
      </c>
      <c r="E84" s="550">
        <v>232.48530558477222</v>
      </c>
      <c r="F84" s="550">
        <v>376.86600235615964</v>
      </c>
      <c r="G84" s="550">
        <v>508.13096410457013</v>
      </c>
      <c r="H84" s="550">
        <v>594.95732695342122</v>
      </c>
      <c r="I84" s="550">
        <v>618.30429646168636</v>
      </c>
      <c r="J84" s="550">
        <v>587.57259613604629</v>
      </c>
      <c r="K84" s="550">
        <v>526.47366128420515</v>
      </c>
      <c r="L84" s="550">
        <v>454.0732957862956</v>
      </c>
      <c r="M84" s="550">
        <v>382.1129951246262</v>
      </c>
      <c r="N84" s="550">
        <v>316.97771305416308</v>
      </c>
      <c r="O84" s="550">
        <v>261.25032739634008</v>
      </c>
      <c r="P84" s="550">
        <v>215.20941937717583</v>
      </c>
      <c r="Q84" s="550">
        <v>177.76822528172977</v>
      </c>
      <c r="R84" s="550">
        <v>147.58146913254654</v>
      </c>
      <c r="S84" s="550">
        <v>123.24277860083554</v>
      </c>
      <c r="T84" s="550">
        <v>103.54392797022547</v>
      </c>
    </row>
    <row r="85" spans="1:20" s="488" customFormat="1" ht="13" hidden="1" outlineLevel="1" x14ac:dyDescent="0.3">
      <c r="D85" s="555">
        <v>6.25</v>
      </c>
      <c r="E85" s="550">
        <v>273.98943309023741</v>
      </c>
      <c r="F85" s="550">
        <v>443.4588845653339</v>
      </c>
      <c r="G85" s="550">
        <v>596.32450037264562</v>
      </c>
      <c r="H85" s="550">
        <v>695.98091773984947</v>
      </c>
      <c r="I85" s="550">
        <v>721.67605215891001</v>
      </c>
      <c r="J85" s="550">
        <v>684.99855073718243</v>
      </c>
      <c r="K85" s="550">
        <v>613.58795612361155</v>
      </c>
      <c r="L85" s="550">
        <v>529.47513927446414</v>
      </c>
      <c r="M85" s="550">
        <v>445.85627526701984</v>
      </c>
      <c r="N85" s="550">
        <v>370.11840489721277</v>
      </c>
      <c r="O85" s="550">
        <v>305.25781765736707</v>
      </c>
      <c r="P85" s="550">
        <v>251.55336687227197</v>
      </c>
      <c r="Q85" s="550">
        <v>207.96059574378813</v>
      </c>
      <c r="R85" s="550">
        <v>172.74687203209709</v>
      </c>
      <c r="S85" s="550">
        <v>144.34182924645208</v>
      </c>
      <c r="T85" s="550">
        <v>121.3403056550594</v>
      </c>
    </row>
    <row r="86" spans="1:20" s="488" customFormat="1" ht="13" hidden="1" outlineLevel="1" x14ac:dyDescent="0.3">
      <c r="D86" s="555">
        <v>6.75</v>
      </c>
      <c r="E86" s="550">
        <v>318.7850376829536</v>
      </c>
      <c r="F86" s="550">
        <v>515.17128096700992</v>
      </c>
      <c r="G86" s="550">
        <v>691.00980925949875</v>
      </c>
      <c r="H86" s="550">
        <v>804.06013620247302</v>
      </c>
      <c r="I86" s="550">
        <v>831.92512156148121</v>
      </c>
      <c r="J86" s="550">
        <v>788.83076768469243</v>
      </c>
      <c r="K86" s="550">
        <v>706.48030784383593</v>
      </c>
      <c r="L86" s="550">
        <v>609.77546352322224</v>
      </c>
      <c r="M86" s="550">
        <v>513.78510946405459</v>
      </c>
      <c r="N86" s="550">
        <v>426.89066920019064</v>
      </c>
      <c r="O86" s="550">
        <v>352.32053894812316</v>
      </c>
      <c r="P86" s="550">
        <v>290.52136317297635</v>
      </c>
      <c r="Q86" s="550">
        <v>240.25467304142302</v>
      </c>
      <c r="R86" s="550">
        <v>199.67867632894544</v>
      </c>
      <c r="S86" s="550">
        <v>166.93513760029558</v>
      </c>
      <c r="T86" s="550">
        <v>140.40926426435362</v>
      </c>
    </row>
    <row r="87" spans="1:20" s="488" customFormat="1" ht="13" hidden="1" outlineLevel="1" x14ac:dyDescent="0.3">
      <c r="D87" s="555">
        <v>7.25</v>
      </c>
      <c r="E87" s="550">
        <v>366.84778265401172</v>
      </c>
      <c r="F87" s="550">
        <v>591.94312094467455</v>
      </c>
      <c r="G87" s="550">
        <v>792.02632649150826</v>
      </c>
      <c r="H87" s="550">
        <v>918.89125690861579</v>
      </c>
      <c r="I87" s="550">
        <v>948.9296242684984</v>
      </c>
      <c r="J87" s="550">
        <v>898.88769164647454</v>
      </c>
      <c r="K87" s="550">
        <v>804.94729250940361</v>
      </c>
      <c r="L87" s="550">
        <v>695.05872338622805</v>
      </c>
      <c r="M87" s="550">
        <v>586.02740654452259</v>
      </c>
      <c r="N87" s="550">
        <v>487.14503542722372</v>
      </c>
      <c r="O87" s="550">
        <v>402.30861434921968</v>
      </c>
      <c r="P87" s="550">
        <v>332.01591327732098</v>
      </c>
      <c r="Q87" s="550">
        <v>274.72842126119662</v>
      </c>
      <c r="R87" s="550">
        <v>228.45623304915409</v>
      </c>
      <c r="S87" s="550">
        <v>191.0966678671823</v>
      </c>
      <c r="T87" s="550">
        <v>160.81836423617963</v>
      </c>
    </row>
    <row r="88" spans="1:20" s="488" customFormat="1" ht="13" hidden="1" outlineLevel="1" x14ac:dyDescent="0.3">
      <c r="D88" s="555">
        <v>7.75</v>
      </c>
      <c r="E88" s="550">
        <v>418.15310981380571</v>
      </c>
      <c r="F88" s="550">
        <v>673.73132323432742</v>
      </c>
      <c r="G88" s="550">
        <v>899.20630667397154</v>
      </c>
      <c r="H88" s="550">
        <v>1040.4772823404867</v>
      </c>
      <c r="I88" s="550">
        <v>1072.4812932465086</v>
      </c>
      <c r="J88" s="550">
        <v>1015.0145480340046</v>
      </c>
      <c r="K88" s="550">
        <v>908.85605038940707</v>
      </c>
      <c r="L88" s="550">
        <v>785.12170024779118</v>
      </c>
      <c r="M88" s="550">
        <v>662.39479370316985</v>
      </c>
      <c r="N88" s="550">
        <v>551.01292240495036</v>
      </c>
      <c r="O88" s="550">
        <v>455.36121139659053</v>
      </c>
      <c r="P88" s="550">
        <v>375.94485700812851</v>
      </c>
      <c r="Q88" s="550">
        <v>311.24628543072151</v>
      </c>
      <c r="R88" s="550">
        <v>258.95543191004572</v>
      </c>
      <c r="S88" s="550">
        <v>216.71779847994185</v>
      </c>
      <c r="T88" s="550">
        <v>182.47281087707762</v>
      </c>
    </row>
    <row r="89" spans="1:20" s="488" customFormat="1" ht="13" hidden="1" outlineLevel="1" x14ac:dyDescent="0.3">
      <c r="D89" s="555">
        <v>8.25</v>
      </c>
      <c r="E89" s="550">
        <v>472.67789003253546</v>
      </c>
      <c r="F89" s="550">
        <v>760.45533755617248</v>
      </c>
      <c r="G89" s="550">
        <v>1012.5955211415769</v>
      </c>
      <c r="H89" s="550">
        <v>1168.519081154416</v>
      </c>
      <c r="I89" s="550">
        <v>1202.4264769569597</v>
      </c>
      <c r="J89" s="550">
        <v>1137.0665564952876</v>
      </c>
      <c r="K89" s="550">
        <v>1018.0010575307936</v>
      </c>
      <c r="L89" s="550">
        <v>879.74834378766786</v>
      </c>
      <c r="M89" s="550">
        <v>742.69039734064813</v>
      </c>
      <c r="N89" s="550">
        <v>618.22492073484045</v>
      </c>
      <c r="O89" s="550">
        <v>511.23936319940111</v>
      </c>
      <c r="P89" s="550">
        <v>422.42352192092324</v>
      </c>
      <c r="Q89" s="550">
        <v>349.92294396827947</v>
      </c>
      <c r="R89" s="550">
        <v>291.28833648120838</v>
      </c>
      <c r="S89" s="550">
        <v>243.90174152156175</v>
      </c>
      <c r="T89" s="550">
        <v>205.46589429336424</v>
      </c>
    </row>
    <row r="90" spans="1:20" s="488" customFormat="1" ht="13" hidden="1" outlineLevel="1" x14ac:dyDescent="0.3">
      <c r="D90" s="555">
        <v>8.75</v>
      </c>
      <c r="E90" s="550">
        <v>530.39886217606102</v>
      </c>
      <c r="F90" s="550">
        <v>852.0675221742847</v>
      </c>
      <c r="G90" s="550">
        <v>1132.0022668120346</v>
      </c>
      <c r="H90" s="550">
        <v>1303.0620550500735</v>
      </c>
      <c r="I90" s="550">
        <v>1338.7273526324059</v>
      </c>
      <c r="J90" s="550">
        <v>1264.9828465844205</v>
      </c>
      <c r="K90" s="550">
        <v>1132.4972195328062</v>
      </c>
      <c r="L90" s="550">
        <v>979.13600150021102</v>
      </c>
      <c r="M90" s="550">
        <v>827.13561669408114</v>
      </c>
      <c r="N90" s="550">
        <v>688.99649043539398</v>
      </c>
      <c r="O90" s="550">
        <v>570.14747943709278</v>
      </c>
      <c r="P90" s="550">
        <v>471.2784562696765</v>
      </c>
      <c r="Q90" s="550">
        <v>390.60146238339672</v>
      </c>
      <c r="R90" s="550">
        <v>325.3117039663536</v>
      </c>
      <c r="S90" s="550">
        <v>272.52294021410364</v>
      </c>
      <c r="T90" s="550">
        <v>229.68902745448383</v>
      </c>
    </row>
    <row r="91" spans="1:20" s="488" customFormat="1" ht="13" hidden="1" outlineLevel="1" x14ac:dyDescent="0.3">
      <c r="D91" s="555">
        <v>9.25</v>
      </c>
      <c r="E91" s="550">
        <v>591.29267403195252</v>
      </c>
      <c r="F91" s="550">
        <v>948.5124656910175</v>
      </c>
      <c r="G91" s="550">
        <v>1257.3250994665359</v>
      </c>
      <c r="H91" s="550">
        <v>1443.7662491309147</v>
      </c>
      <c r="I91" s="550">
        <v>1481.1192002973182</v>
      </c>
      <c r="J91" s="550">
        <v>1398.5648525918159</v>
      </c>
      <c r="K91" s="550">
        <v>1252.0976744232864</v>
      </c>
      <c r="L91" s="550">
        <v>1083.0351298431299</v>
      </c>
      <c r="M91" s="550">
        <v>915.35104222376356</v>
      </c>
      <c r="N91" s="550">
        <v>763.00108231819013</v>
      </c>
      <c r="O91" s="550">
        <v>631.80060219651193</v>
      </c>
      <c r="P91" s="550">
        <v>522.65725429208464</v>
      </c>
      <c r="Q91" s="550">
        <v>433.42167911389436</v>
      </c>
      <c r="R91" s="550">
        <v>361.15912210125384</v>
      </c>
      <c r="S91" s="550">
        <v>302.62651390552941</v>
      </c>
      <c r="T91" s="550">
        <v>255.18235679400007</v>
      </c>
    </row>
    <row r="92" spans="1:20" s="488" customFormat="1" ht="13" hidden="1" outlineLevel="1" x14ac:dyDescent="0.3">
      <c r="D92" s="555">
        <v>9.75</v>
      </c>
      <c r="E92" s="550">
        <v>655.33643344537268</v>
      </c>
      <c r="F92" s="550">
        <v>1049.7351851625183</v>
      </c>
      <c r="G92" s="550">
        <v>1388.4647239453716</v>
      </c>
      <c r="H92" s="550">
        <v>1590.7698177787233</v>
      </c>
      <c r="I92" s="550">
        <v>1629.6155150616794</v>
      </c>
      <c r="J92" s="550">
        <v>1537.7823359302856</v>
      </c>
      <c r="K92" s="550">
        <v>1376.6670301834358</v>
      </c>
      <c r="L92" s="550">
        <v>1191.2875904706684</v>
      </c>
      <c r="M92" s="550">
        <v>1007.6466270960815</v>
      </c>
      <c r="N92" s="550">
        <v>840.51729511347219</v>
      </c>
      <c r="O92" s="550">
        <v>696.45342099578147</v>
      </c>
      <c r="P92" s="550">
        <v>576.37499981396229</v>
      </c>
      <c r="Q92" s="550">
        <v>478.22160436365311</v>
      </c>
      <c r="R92" s="550">
        <v>398.68436182601204</v>
      </c>
      <c r="S92" s="550">
        <v>334.3104153241398</v>
      </c>
      <c r="T92" s="550">
        <v>282.03572315088985</v>
      </c>
    </row>
    <row r="93" spans="1:20" s="568" customFormat="1" ht="13" hidden="1" outlineLevel="1" x14ac:dyDescent="0.3">
      <c r="D93" s="555"/>
      <c r="E93" s="567"/>
      <c r="F93" s="567"/>
      <c r="G93" s="567"/>
      <c r="H93" s="567"/>
      <c r="I93" s="567"/>
      <c r="J93" s="567"/>
      <c r="K93" s="567"/>
      <c r="L93" s="567"/>
      <c r="M93" s="567"/>
      <c r="N93" s="567"/>
      <c r="O93" s="567"/>
      <c r="P93" s="567"/>
      <c r="Q93" s="567"/>
      <c r="R93" s="567"/>
      <c r="S93" s="567"/>
      <c r="T93" s="567"/>
    </row>
    <row r="94" spans="1:20" s="568" customFormat="1" ht="13" hidden="1" outlineLevel="1" x14ac:dyDescent="0.3">
      <c r="A94" s="571" t="s">
        <v>283</v>
      </c>
      <c r="D94" s="555"/>
      <c r="E94" s="567"/>
      <c r="F94" s="567"/>
      <c r="G94" s="567"/>
      <c r="H94" s="567"/>
      <c r="I94" s="567"/>
      <c r="J94" s="567"/>
      <c r="K94" s="567"/>
      <c r="L94" s="567"/>
      <c r="M94" s="567"/>
      <c r="N94" s="567"/>
      <c r="O94" s="567"/>
      <c r="P94" s="567"/>
      <c r="Q94" s="567"/>
      <c r="R94" s="567"/>
      <c r="S94" s="567"/>
      <c r="T94" s="567"/>
    </row>
    <row r="95" spans="1:20" s="568" customFormat="1" ht="13" hidden="1" outlineLevel="1" x14ac:dyDescent="0.3">
      <c r="A95" s="571"/>
      <c r="D95" s="555"/>
      <c r="E95" s="567" t="s">
        <v>285</v>
      </c>
      <c r="F95" s="567"/>
      <c r="G95" s="567"/>
      <c r="H95" s="567"/>
      <c r="I95" s="567"/>
      <c r="J95" s="567"/>
      <c r="K95" s="567"/>
      <c r="L95" s="567"/>
      <c r="M95" s="567"/>
      <c r="N95" s="567"/>
      <c r="O95" s="567"/>
      <c r="P95" s="567"/>
      <c r="Q95" s="567"/>
      <c r="R95" s="567"/>
      <c r="S95" s="567"/>
      <c r="T95" s="567"/>
    </row>
    <row r="96" spans="1:20" s="568" customFormat="1" ht="13" hidden="1" outlineLevel="1" x14ac:dyDescent="0.3">
      <c r="D96" s="582"/>
      <c r="E96" s="583">
        <v>4.5</v>
      </c>
      <c r="F96" s="583">
        <v>5.5</v>
      </c>
      <c r="G96" s="583">
        <v>6.5</v>
      </c>
      <c r="H96" s="583">
        <v>7.5</v>
      </c>
      <c r="I96" s="583">
        <v>8.5</v>
      </c>
      <c r="J96" s="583">
        <v>9.5</v>
      </c>
      <c r="K96" s="583">
        <v>10.5</v>
      </c>
      <c r="L96" s="583">
        <v>11.5</v>
      </c>
      <c r="M96" s="583">
        <v>12.5</v>
      </c>
      <c r="N96" s="583">
        <v>13.5</v>
      </c>
      <c r="O96" s="583">
        <v>14.5</v>
      </c>
      <c r="P96" s="583">
        <v>15.5</v>
      </c>
      <c r="Q96" s="583">
        <v>16.5</v>
      </c>
      <c r="R96" s="583">
        <v>17.5</v>
      </c>
      <c r="S96" s="583">
        <v>18.5</v>
      </c>
      <c r="T96" s="583">
        <v>19.5</v>
      </c>
    </row>
    <row r="97" spans="3:20" s="568" customFormat="1" ht="13" hidden="1" outlineLevel="1" x14ac:dyDescent="0.3">
      <c r="C97" s="568" t="s">
        <v>284</v>
      </c>
      <c r="D97" s="555">
        <v>0.25</v>
      </c>
      <c r="E97" s="552">
        <f>MIN(E73*$G$6,$G$7)</f>
        <v>0.36109435391269162</v>
      </c>
      <c r="F97" s="552">
        <f t="shared" ref="F97:T97" si="7">MIN(F73*$G$6,$G$7)</f>
        <v>0.5959454303640277</v>
      </c>
      <c r="G97" s="552">
        <f t="shared" si="7"/>
        <v>0.83193943964711226</v>
      </c>
      <c r="H97" s="552">
        <f t="shared" si="7"/>
        <v>1.0269582276836207</v>
      </c>
      <c r="I97" s="552">
        <f t="shared" si="7"/>
        <v>1.1161304186498864</v>
      </c>
      <c r="J97" s="552">
        <f t="shared" si="7"/>
        <v>1.0860583997714433</v>
      </c>
      <c r="K97" s="552">
        <f t="shared" si="7"/>
        <v>0.97857329291959327</v>
      </c>
      <c r="L97" s="552">
        <f t="shared" si="7"/>
        <v>0.84015520733208793</v>
      </c>
      <c r="M97" s="552">
        <f t="shared" si="7"/>
        <v>0.70101588787944236</v>
      </c>
      <c r="N97" s="552">
        <f t="shared" si="7"/>
        <v>0.57608606421272002</v>
      </c>
      <c r="O97" s="552">
        <f t="shared" si="7"/>
        <v>0.47063531943272419</v>
      </c>
      <c r="P97" s="552">
        <f t="shared" si="7"/>
        <v>0.38420461355551772</v>
      </c>
      <c r="Q97" s="552">
        <f t="shared" si="7"/>
        <v>0.31460617671253677</v>
      </c>
      <c r="R97" s="552">
        <f t="shared" si="7"/>
        <v>0.2588605298216814</v>
      </c>
      <c r="S97" s="552">
        <f t="shared" si="7"/>
        <v>0.21421476190092453</v>
      </c>
      <c r="T97" s="552">
        <f t="shared" si="7"/>
        <v>0.17835361005895159</v>
      </c>
    </row>
    <row r="98" spans="3:20" s="568" customFormat="1" ht="13" hidden="1" outlineLevel="1" x14ac:dyDescent="0.3">
      <c r="D98" s="555">
        <v>0.75</v>
      </c>
      <c r="E98" s="552">
        <f t="shared" ref="E98:T116" si="8">MIN(E74*$G$6,$G$7)</f>
        <v>3.2447643132834609</v>
      </c>
      <c r="F98" s="552">
        <f t="shared" si="8"/>
        <v>5.3460656695327984</v>
      </c>
      <c r="G98" s="552">
        <f t="shared" si="8"/>
        <v>7.4364036553176547</v>
      </c>
      <c r="H98" s="552">
        <f t="shared" si="8"/>
        <v>9.1169739364047331</v>
      </c>
      <c r="I98" s="552">
        <f t="shared" si="8"/>
        <v>9.8435884867349852</v>
      </c>
      <c r="J98" s="552">
        <f t="shared" si="8"/>
        <v>9.5447831366182569</v>
      </c>
      <c r="K98" s="552">
        <f t="shared" si="8"/>
        <v>8.5941445780451353</v>
      </c>
      <c r="L98" s="552">
        <f t="shared" si="8"/>
        <v>7.3828109651277805</v>
      </c>
      <c r="M98" s="552">
        <f t="shared" si="8"/>
        <v>6.1669541889176536</v>
      </c>
      <c r="N98" s="552">
        <f t="shared" si="8"/>
        <v>5.0743630686653054</v>
      </c>
      <c r="O98" s="552">
        <f t="shared" si="8"/>
        <v>4.1496017385978865</v>
      </c>
      <c r="P98" s="552">
        <f t="shared" si="8"/>
        <v>3.3927512925141317</v>
      </c>
      <c r="Q98" s="552">
        <f t="shared" si="8"/>
        <v>2.7815810221503159</v>
      </c>
      <c r="R98" s="552">
        <f t="shared" si="8"/>
        <v>2.2909293826615191</v>
      </c>
      <c r="S98" s="552">
        <f t="shared" si="8"/>
        <v>1.8983397120726146</v>
      </c>
      <c r="T98" s="552">
        <f t="shared" si="8"/>
        <v>1.5827614929349714</v>
      </c>
    </row>
    <row r="99" spans="3:20" s="568" customFormat="1" ht="13" hidden="1" outlineLevel="1" x14ac:dyDescent="0.3">
      <c r="D99" s="555">
        <v>1.25</v>
      </c>
      <c r="E99" s="552">
        <f t="shared" si="8"/>
        <v>8.9917379125670092</v>
      </c>
      <c r="F99" s="552">
        <f t="shared" si="8"/>
        <v>14.789846475535256</v>
      </c>
      <c r="G99" s="552">
        <f t="shared" si="8"/>
        <v>20.498451683519988</v>
      </c>
      <c r="H99" s="552">
        <f t="shared" si="8"/>
        <v>24.976599193441601</v>
      </c>
      <c r="I99" s="552">
        <f t="shared" si="8"/>
        <v>26.808586045446077</v>
      </c>
      <c r="J99" s="552">
        <f t="shared" si="8"/>
        <v>25.914891983528111</v>
      </c>
      <c r="K99" s="552">
        <f t="shared" si="8"/>
        <v>23.314481208065686</v>
      </c>
      <c r="L99" s="552">
        <f t="shared" si="8"/>
        <v>20.038891236212354</v>
      </c>
      <c r="M99" s="552">
        <f t="shared" si="8"/>
        <v>16.755299857187818</v>
      </c>
      <c r="N99" s="552">
        <f t="shared" si="8"/>
        <v>13.8020254368518</v>
      </c>
      <c r="O99" s="552">
        <f t="shared" si="8"/>
        <v>11.298832790700217</v>
      </c>
      <c r="P99" s="552">
        <f t="shared" si="8"/>
        <v>9.2453018613803852</v>
      </c>
      <c r="Q99" s="552">
        <f t="shared" si="8"/>
        <v>7.5880044915488627</v>
      </c>
      <c r="R99" s="552">
        <f t="shared" si="8"/>
        <v>6.2586578569911966</v>
      </c>
      <c r="S99" s="552">
        <f t="shared" si="8"/>
        <v>5.1903854485582883</v>
      </c>
      <c r="T99" s="552">
        <f t="shared" si="8"/>
        <v>4.3323788157928531</v>
      </c>
    </row>
    <row r="100" spans="3:20" s="568" customFormat="1" ht="13" hidden="1" outlineLevel="1" x14ac:dyDescent="0.3">
      <c r="D100" s="555">
        <v>1.75</v>
      </c>
      <c r="E100" s="552">
        <f t="shared" si="8"/>
        <v>17.579665677697978</v>
      </c>
      <c r="F100" s="552">
        <f t="shared" si="8"/>
        <v>28.867211157607809</v>
      </c>
      <c r="G100" s="552">
        <f t="shared" si="8"/>
        <v>39.871875729464172</v>
      </c>
      <c r="H100" s="552">
        <f t="shared" si="8"/>
        <v>48.299118487913887</v>
      </c>
      <c r="I100" s="552">
        <f t="shared" si="8"/>
        <v>51.577744325673521</v>
      </c>
      <c r="J100" s="552">
        <f t="shared" si="8"/>
        <v>49.719689769218775</v>
      </c>
      <c r="K100" s="552">
        <f t="shared" si="8"/>
        <v>44.703497970430575</v>
      </c>
      <c r="L100" s="552">
        <f t="shared" si="8"/>
        <v>38.436391615724794</v>
      </c>
      <c r="M100" s="552">
        <f t="shared" si="8"/>
        <v>32.167396181664088</v>
      </c>
      <c r="N100" s="552">
        <f t="shared" si="8"/>
        <v>26.523992199659496</v>
      </c>
      <c r="O100" s="552">
        <f t="shared" si="8"/>
        <v>21.734567981057641</v>
      </c>
      <c r="P100" s="552">
        <f t="shared" si="8"/>
        <v>17.801289216543925</v>
      </c>
      <c r="Q100" s="552">
        <f t="shared" si="8"/>
        <v>14.620182041818225</v>
      </c>
      <c r="R100" s="552">
        <f t="shared" si="8"/>
        <v>12.070837206791634</v>
      </c>
      <c r="S100" s="552">
        <f t="shared" si="8"/>
        <v>10.024122113520423</v>
      </c>
      <c r="T100" s="552">
        <f t="shared" si="8"/>
        <v>8.372799423958277</v>
      </c>
    </row>
    <row r="101" spans="3:20" s="568" customFormat="1" ht="13" hidden="1" outlineLevel="1" x14ac:dyDescent="0.3">
      <c r="D101" s="555">
        <v>2.25</v>
      </c>
      <c r="E101" s="552">
        <f t="shared" si="8"/>
        <v>28.986511136980994</v>
      </c>
      <c r="F101" s="552">
        <f t="shared" si="8"/>
        <v>47.519361722987547</v>
      </c>
      <c r="G101" s="552">
        <f t="shared" si="8"/>
        <v>65.412444010794829</v>
      </c>
      <c r="H101" s="552">
        <f t="shared" si="8"/>
        <v>78.821533075954036</v>
      </c>
      <c r="I101" s="552">
        <f t="shared" si="8"/>
        <v>83.780568901572082</v>
      </c>
      <c r="J101" s="552">
        <f t="shared" si="8"/>
        <v>80.563909401213778</v>
      </c>
      <c r="K101" s="552">
        <f t="shared" si="8"/>
        <v>72.382972856318474</v>
      </c>
      <c r="L101" s="552">
        <f t="shared" si="8"/>
        <v>62.269606876473063</v>
      </c>
      <c r="M101" s="552">
        <f t="shared" si="8"/>
        <v>52.157242991663104</v>
      </c>
      <c r="N101" s="552">
        <f t="shared" si="8"/>
        <v>43.046198029560109</v>
      </c>
      <c r="O101" s="552">
        <f t="shared" si="8"/>
        <v>35.295491066455106</v>
      </c>
      <c r="P101" s="552">
        <f t="shared" si="8"/>
        <v>28.933458414050229</v>
      </c>
      <c r="Q101" s="552">
        <f t="shared" si="8"/>
        <v>23.790690105512365</v>
      </c>
      <c r="R101" s="552">
        <f t="shared" si="8"/>
        <v>19.654469351995729</v>
      </c>
      <c r="S101" s="552">
        <f t="shared" si="8"/>
        <v>16.336890080661185</v>
      </c>
      <c r="T101" s="552">
        <f t="shared" si="8"/>
        <v>13.658158478246612</v>
      </c>
    </row>
    <row r="102" spans="3:20" s="568" customFormat="1" ht="13" hidden="1" outlineLevel="1" x14ac:dyDescent="0.3">
      <c r="D102" s="555">
        <v>2.75</v>
      </c>
      <c r="E102" s="552">
        <f t="shared" si="8"/>
        <v>43.190704128419924</v>
      </c>
      <c r="F102" s="552">
        <f t="shared" si="8"/>
        <v>70.689008327735976</v>
      </c>
      <c r="G102" s="552">
        <f t="shared" si="8"/>
        <v>96.993225887175072</v>
      </c>
      <c r="H102" s="552">
        <f t="shared" si="8"/>
        <v>116.29813130919111</v>
      </c>
      <c r="I102" s="552">
        <f t="shared" si="8"/>
        <v>123.10233676081214</v>
      </c>
      <c r="J102" s="552">
        <f t="shared" si="8"/>
        <v>118.1128004227495</v>
      </c>
      <c r="K102" s="552">
        <f t="shared" si="8"/>
        <v>106.06181547667596</v>
      </c>
      <c r="L102" s="552">
        <f t="shared" si="8"/>
        <v>91.280270224274034</v>
      </c>
      <c r="M102" s="552">
        <f t="shared" si="8"/>
        <v>76.500118018062651</v>
      </c>
      <c r="N102" s="552">
        <f t="shared" si="8"/>
        <v>63.190859721312599</v>
      </c>
      <c r="O102" s="552">
        <f t="shared" si="8"/>
        <v>51.86917485643967</v>
      </c>
      <c r="P102" s="552">
        <f t="shared" si="8"/>
        <v>42.542215305485534</v>
      </c>
      <c r="Q102" s="552">
        <f t="shared" si="8"/>
        <v>35.009333505112949</v>
      </c>
      <c r="R102" s="552">
        <f t="shared" si="8"/>
        <v>28.94658189953326</v>
      </c>
      <c r="S102" s="552">
        <f t="shared" si="8"/>
        <v>24.081133133834214</v>
      </c>
      <c r="T102" s="552">
        <f t="shared" si="8"/>
        <v>20.149515820190995</v>
      </c>
    </row>
    <row r="103" spans="3:20" s="568" customFormat="1" ht="13" hidden="1" outlineLevel="1" x14ac:dyDescent="0.3">
      <c r="D103" s="555">
        <v>3.25</v>
      </c>
      <c r="E103" s="552">
        <f t="shared" si="8"/>
        <v>60.171509555377078</v>
      </c>
      <c r="F103" s="552">
        <f t="shared" si="8"/>
        <v>98.319754184146746</v>
      </c>
      <c r="G103" s="552">
        <f t="shared" si="8"/>
        <v>134.47557926885483</v>
      </c>
      <c r="H103" s="552">
        <f t="shared" si="8"/>
        <v>160.5073939665327</v>
      </c>
      <c r="I103" s="552">
        <f t="shared" si="8"/>
        <v>169.25471635605697</v>
      </c>
      <c r="J103" s="552">
        <f t="shared" si="8"/>
        <v>162.07479130181537</v>
      </c>
      <c r="K103" s="552">
        <f t="shared" si="8"/>
        <v>145.47118309963875</v>
      </c>
      <c r="L103" s="552">
        <f t="shared" si="8"/>
        <v>125.22746383723211</v>
      </c>
      <c r="M103" s="552">
        <f t="shared" si="8"/>
        <v>105.04788387036143</v>
      </c>
      <c r="N103" s="552">
        <f t="shared" si="8"/>
        <v>86.822071010399085</v>
      </c>
      <c r="O103" s="552">
        <f t="shared" si="8"/>
        <v>71.322494001333638</v>
      </c>
      <c r="P103" s="552">
        <f t="shared" si="8"/>
        <v>58.540947720916677</v>
      </c>
      <c r="Q103" s="552">
        <f t="shared" si="8"/>
        <v>48.212212221485672</v>
      </c>
      <c r="R103" s="552">
        <f t="shared" si="8"/>
        <v>39.893813660093997</v>
      </c>
      <c r="S103" s="552">
        <f t="shared" si="8"/>
        <v>33.204082692631168</v>
      </c>
      <c r="T103" s="552">
        <f t="shared" si="8"/>
        <v>27.813918710703213</v>
      </c>
    </row>
    <row r="104" spans="3:20" s="568" customFormat="1" ht="13" hidden="1" outlineLevel="1" x14ac:dyDescent="0.3">
      <c r="D104" s="555">
        <v>3.75</v>
      </c>
      <c r="E104" s="552">
        <f t="shared" si="8"/>
        <v>79.907405602548167</v>
      </c>
      <c r="F104" s="552">
        <f t="shared" si="8"/>
        <v>130.35637877236229</v>
      </c>
      <c r="G104" s="552">
        <f t="shared" si="8"/>
        <v>177.75709562992108</v>
      </c>
      <c r="H104" s="552">
        <f t="shared" si="8"/>
        <v>211.24542317889046</v>
      </c>
      <c r="I104" s="552">
        <f t="shared" si="8"/>
        <v>221.99558379782349</v>
      </c>
      <c r="J104" s="552">
        <f t="shared" si="8"/>
        <v>212.18785734483572</v>
      </c>
      <c r="K104" s="552">
        <f t="shared" si="8"/>
        <v>190.35986793772238</v>
      </c>
      <c r="L104" s="552">
        <f t="shared" si="8"/>
        <v>163.95387650107793</v>
      </c>
      <c r="M104" s="552">
        <f t="shared" si="8"/>
        <v>137.60767327029342</v>
      </c>
      <c r="N104" s="552">
        <f t="shared" si="8"/>
        <v>113.81816815241237</v>
      </c>
      <c r="O104" s="552">
        <f t="shared" si="8"/>
        <v>93.57055431859699</v>
      </c>
      <c r="P104" s="552">
        <f t="shared" si="8"/>
        <v>76.857385778980344</v>
      </c>
      <c r="Q104" s="552">
        <f t="shared" si="8"/>
        <v>63.341732071143554</v>
      </c>
      <c r="R104" s="552">
        <f t="shared" si="8"/>
        <v>52.451594332100811</v>
      </c>
      <c r="S104" s="552">
        <f t="shared" si="8"/>
        <v>43.688450624340483</v>
      </c>
      <c r="T104" s="552">
        <f t="shared" si="8"/>
        <v>36.610761946760526</v>
      </c>
    </row>
    <row r="105" spans="3:20" s="568" customFormat="1" ht="13" hidden="1" outlineLevel="1" x14ac:dyDescent="0.3">
      <c r="D105" s="555">
        <v>4.25</v>
      </c>
      <c r="E105" s="552">
        <f t="shared" si="8"/>
        <v>102.37753576480173</v>
      </c>
      <c r="F105" s="552">
        <f t="shared" si="8"/>
        <v>166.74481998818572</v>
      </c>
      <c r="G105" s="552">
        <f t="shared" si="8"/>
        <v>226.70906935329668</v>
      </c>
      <c r="H105" s="552">
        <f t="shared" si="8"/>
        <v>268.32193530238243</v>
      </c>
      <c r="I105" s="552">
        <f t="shared" si="8"/>
        <v>281.09726339673159</v>
      </c>
      <c r="J105" s="552">
        <f t="shared" si="8"/>
        <v>268.22920050156119</v>
      </c>
      <c r="K105" s="552">
        <f t="shared" si="8"/>
        <v>240.53564125297686</v>
      </c>
      <c r="L105" s="552">
        <f t="shared" si="8"/>
        <v>207.24823928785705</v>
      </c>
      <c r="M105" s="552">
        <f t="shared" si="8"/>
        <v>174.06055964602979</v>
      </c>
      <c r="N105" s="552">
        <f t="shared" si="8"/>
        <v>144.11001219068564</v>
      </c>
      <c r="O105" s="552">
        <f t="shared" si="8"/>
        <v>118.53181187517706</v>
      </c>
      <c r="P105" s="552">
        <f t="shared" si="8"/>
        <v>97.427632867747718</v>
      </c>
      <c r="Q105" s="552">
        <f t="shared" si="8"/>
        <v>80.348115382639094</v>
      </c>
      <c r="R105" s="552">
        <f t="shared" si="8"/>
        <v>66.581000267065647</v>
      </c>
      <c r="S105" s="552">
        <f t="shared" si="8"/>
        <v>55.496684368233986</v>
      </c>
      <c r="T105" s="552">
        <f t="shared" si="8"/>
        <v>46.538691263668454</v>
      </c>
    </row>
    <row r="106" spans="3:20" s="568" customFormat="1" ht="13" hidden="1" outlineLevel="1" x14ac:dyDescent="0.3">
      <c r="D106" s="555">
        <v>4.75</v>
      </c>
      <c r="E106" s="552">
        <f t="shared" si="8"/>
        <v>127.56132407886794</v>
      </c>
      <c r="F106" s="552">
        <f t="shared" si="8"/>
        <v>207.43117711118998</v>
      </c>
      <c r="G106" s="552">
        <f t="shared" si="8"/>
        <v>281.21109274252393</v>
      </c>
      <c r="H106" s="552">
        <f t="shared" si="8"/>
        <v>331.56417474536283</v>
      </c>
      <c r="I106" s="552">
        <f t="shared" si="8"/>
        <v>332</v>
      </c>
      <c r="J106" s="552">
        <f t="shared" si="8"/>
        <v>330.01380409513013</v>
      </c>
      <c r="K106" s="552">
        <f t="shared" si="8"/>
        <v>295.86193872074404</v>
      </c>
      <c r="L106" s="552">
        <f t="shared" si="8"/>
        <v>254.98136361517601</v>
      </c>
      <c r="M106" s="552">
        <f t="shared" si="8"/>
        <v>214.29144176822561</v>
      </c>
      <c r="N106" s="552">
        <f t="shared" si="8"/>
        <v>177.50686259535539</v>
      </c>
      <c r="O106" s="552">
        <f t="shared" si="8"/>
        <v>146.1375746861809</v>
      </c>
      <c r="P106" s="552">
        <f t="shared" si="8"/>
        <v>120.19884699969982</v>
      </c>
      <c r="Q106" s="552">
        <f t="shared" si="8"/>
        <v>99.163165418758169</v>
      </c>
      <c r="R106" s="552">
        <f t="shared" si="8"/>
        <v>82.247998827263359</v>
      </c>
      <c r="S106" s="552">
        <f t="shared" si="8"/>
        <v>68.601416563966467</v>
      </c>
      <c r="T106" s="552">
        <f t="shared" si="8"/>
        <v>57.566940120310349</v>
      </c>
    </row>
    <row r="107" spans="3:20" s="568" customFormat="1" ht="13" hidden="1" outlineLevel="1" x14ac:dyDescent="0.3">
      <c r="D107" s="555">
        <v>5.25</v>
      </c>
      <c r="E107" s="552">
        <f t="shared" si="8"/>
        <v>155.43821122615168</v>
      </c>
      <c r="F107" s="552">
        <f t="shared" si="8"/>
        <v>252.36432723287822</v>
      </c>
      <c r="G107" s="552">
        <f t="shared" si="8"/>
        <v>332</v>
      </c>
      <c r="H107" s="552">
        <f t="shared" si="8"/>
        <v>332</v>
      </c>
      <c r="I107" s="552">
        <f t="shared" si="8"/>
        <v>332</v>
      </c>
      <c r="J107" s="552">
        <f t="shared" si="8"/>
        <v>332</v>
      </c>
      <c r="K107" s="552">
        <f t="shared" si="8"/>
        <v>332</v>
      </c>
      <c r="L107" s="552">
        <f t="shared" si="8"/>
        <v>307.02337792225154</v>
      </c>
      <c r="M107" s="552">
        <f t="shared" si="8"/>
        <v>258.19857692911972</v>
      </c>
      <c r="N107" s="552">
        <f t="shared" si="8"/>
        <v>214.03181717905255</v>
      </c>
      <c r="O107" s="552">
        <f t="shared" si="8"/>
        <v>176.32751746713302</v>
      </c>
      <c r="P107" s="552">
        <f t="shared" si="8"/>
        <v>145.12589281708554</v>
      </c>
      <c r="Q107" s="552">
        <f t="shared" si="8"/>
        <v>119.80415005313154</v>
      </c>
      <c r="R107" s="552">
        <f t="shared" si="8"/>
        <v>99.399602267978366</v>
      </c>
      <c r="S107" s="552">
        <f t="shared" si="8"/>
        <v>82.956815724234815</v>
      </c>
      <c r="T107" s="552">
        <f t="shared" si="8"/>
        <v>69.655312361634273</v>
      </c>
    </row>
    <row r="108" spans="3:20" s="568" customFormat="1" ht="13" hidden="1" outlineLevel="1" x14ac:dyDescent="0.3">
      <c r="D108" s="555">
        <v>5.75</v>
      </c>
      <c r="E108" s="552">
        <f t="shared" si="8"/>
        <v>185.98824446781779</v>
      </c>
      <c r="F108" s="552">
        <f t="shared" si="8"/>
        <v>301.4928018849277</v>
      </c>
      <c r="G108" s="552">
        <f t="shared" si="8"/>
        <v>332</v>
      </c>
      <c r="H108" s="552">
        <f t="shared" si="8"/>
        <v>332</v>
      </c>
      <c r="I108" s="552">
        <f t="shared" si="8"/>
        <v>332</v>
      </c>
      <c r="J108" s="552">
        <f t="shared" si="8"/>
        <v>332</v>
      </c>
      <c r="K108" s="552">
        <f t="shared" si="8"/>
        <v>332</v>
      </c>
      <c r="L108" s="552">
        <f t="shared" si="8"/>
        <v>332</v>
      </c>
      <c r="M108" s="552">
        <f t="shared" si="8"/>
        <v>305.69039609970099</v>
      </c>
      <c r="N108" s="552">
        <f t="shared" si="8"/>
        <v>253.58217044333048</v>
      </c>
      <c r="O108" s="552">
        <f t="shared" si="8"/>
        <v>209.00026191707207</v>
      </c>
      <c r="P108" s="552">
        <f t="shared" si="8"/>
        <v>172.16753550174067</v>
      </c>
      <c r="Q108" s="552">
        <f t="shared" si="8"/>
        <v>142.21458022538383</v>
      </c>
      <c r="R108" s="552">
        <f t="shared" si="8"/>
        <v>118.06517530603725</v>
      </c>
      <c r="S108" s="552">
        <f t="shared" si="8"/>
        <v>98.59422288066844</v>
      </c>
      <c r="T108" s="552">
        <f t="shared" si="8"/>
        <v>82.835142376180386</v>
      </c>
    </row>
    <row r="109" spans="3:20" s="568" customFormat="1" ht="13" hidden="1" outlineLevel="1" x14ac:dyDescent="0.3">
      <c r="D109" s="555">
        <v>6.25</v>
      </c>
      <c r="E109" s="552">
        <f t="shared" si="8"/>
        <v>219.19154647218994</v>
      </c>
      <c r="F109" s="552">
        <f t="shared" si="8"/>
        <v>332</v>
      </c>
      <c r="G109" s="552">
        <f t="shared" si="8"/>
        <v>332</v>
      </c>
      <c r="H109" s="552">
        <f t="shared" si="8"/>
        <v>332</v>
      </c>
      <c r="I109" s="552">
        <f t="shared" si="8"/>
        <v>332</v>
      </c>
      <c r="J109" s="552">
        <f t="shared" si="8"/>
        <v>332</v>
      </c>
      <c r="K109" s="552">
        <f t="shared" si="8"/>
        <v>332</v>
      </c>
      <c r="L109" s="552">
        <f t="shared" si="8"/>
        <v>332</v>
      </c>
      <c r="M109" s="552">
        <f t="shared" si="8"/>
        <v>332</v>
      </c>
      <c r="N109" s="552">
        <f t="shared" si="8"/>
        <v>296.09472391777024</v>
      </c>
      <c r="O109" s="552">
        <f t="shared" si="8"/>
        <v>244.20625412589368</v>
      </c>
      <c r="P109" s="552">
        <f t="shared" si="8"/>
        <v>201.24269349781758</v>
      </c>
      <c r="Q109" s="552">
        <f t="shared" si="8"/>
        <v>166.36847659503053</v>
      </c>
      <c r="R109" s="552">
        <f t="shared" si="8"/>
        <v>138.19749762567767</v>
      </c>
      <c r="S109" s="552">
        <f t="shared" si="8"/>
        <v>115.47346339716167</v>
      </c>
      <c r="T109" s="552">
        <f t="shared" si="8"/>
        <v>97.07224452404752</v>
      </c>
    </row>
    <row r="110" spans="3:20" s="568" customFormat="1" ht="13" hidden="1" outlineLevel="1" x14ac:dyDescent="0.3">
      <c r="D110" s="555">
        <v>6.75</v>
      </c>
      <c r="E110" s="552">
        <f t="shared" si="8"/>
        <v>255.02803014636288</v>
      </c>
      <c r="F110" s="552">
        <f t="shared" si="8"/>
        <v>332</v>
      </c>
      <c r="G110" s="552">
        <f t="shared" si="8"/>
        <v>332</v>
      </c>
      <c r="H110" s="552">
        <f t="shared" si="8"/>
        <v>332</v>
      </c>
      <c r="I110" s="552">
        <f t="shared" si="8"/>
        <v>332</v>
      </c>
      <c r="J110" s="552">
        <f t="shared" si="8"/>
        <v>332</v>
      </c>
      <c r="K110" s="552">
        <f t="shared" si="8"/>
        <v>332</v>
      </c>
      <c r="L110" s="552">
        <f t="shared" si="8"/>
        <v>332</v>
      </c>
      <c r="M110" s="552">
        <f t="shared" si="8"/>
        <v>332</v>
      </c>
      <c r="N110" s="552">
        <f t="shared" si="8"/>
        <v>332</v>
      </c>
      <c r="O110" s="552">
        <f t="shared" si="8"/>
        <v>281.85643115849854</v>
      </c>
      <c r="P110" s="552">
        <f t="shared" si="8"/>
        <v>232.4170905383811</v>
      </c>
      <c r="Q110" s="552">
        <f t="shared" si="8"/>
        <v>192.20373843313843</v>
      </c>
      <c r="R110" s="552">
        <f t="shared" si="8"/>
        <v>159.74294106315637</v>
      </c>
      <c r="S110" s="552">
        <f t="shared" si="8"/>
        <v>133.54811008023646</v>
      </c>
      <c r="T110" s="552">
        <f t="shared" si="8"/>
        <v>112.3274114114829</v>
      </c>
    </row>
    <row r="111" spans="3:20" s="568" customFormat="1" ht="13" hidden="1" outlineLevel="1" x14ac:dyDescent="0.3">
      <c r="D111" s="555">
        <v>7.25</v>
      </c>
      <c r="E111" s="552">
        <f t="shared" si="8"/>
        <v>293.47822612320937</v>
      </c>
      <c r="F111" s="552">
        <f t="shared" si="8"/>
        <v>332</v>
      </c>
      <c r="G111" s="552">
        <f t="shared" si="8"/>
        <v>332</v>
      </c>
      <c r="H111" s="552">
        <f t="shared" si="8"/>
        <v>332</v>
      </c>
      <c r="I111" s="552">
        <f t="shared" si="8"/>
        <v>332</v>
      </c>
      <c r="J111" s="552">
        <f t="shared" si="8"/>
        <v>332</v>
      </c>
      <c r="K111" s="552">
        <f t="shared" si="8"/>
        <v>332</v>
      </c>
      <c r="L111" s="552">
        <f t="shared" si="8"/>
        <v>332</v>
      </c>
      <c r="M111" s="552">
        <f t="shared" si="8"/>
        <v>332</v>
      </c>
      <c r="N111" s="552">
        <f t="shared" si="8"/>
        <v>332</v>
      </c>
      <c r="O111" s="552">
        <f t="shared" si="8"/>
        <v>321.84689147937576</v>
      </c>
      <c r="P111" s="552">
        <f t="shared" si="8"/>
        <v>265.61273062185677</v>
      </c>
      <c r="Q111" s="552">
        <f t="shared" si="8"/>
        <v>219.7827370089573</v>
      </c>
      <c r="R111" s="552">
        <f t="shared" si="8"/>
        <v>182.76498643932328</v>
      </c>
      <c r="S111" s="552">
        <f t="shared" si="8"/>
        <v>152.87733429374586</v>
      </c>
      <c r="T111" s="552">
        <f t="shared" si="8"/>
        <v>128.65469138894372</v>
      </c>
    </row>
    <row r="112" spans="3:20" s="568" customFormat="1" ht="13" hidden="1" outlineLevel="1" x14ac:dyDescent="0.3">
      <c r="D112" s="555">
        <v>7.75</v>
      </c>
      <c r="E112" s="552">
        <f t="shared" si="8"/>
        <v>332</v>
      </c>
      <c r="F112" s="552">
        <f t="shared" si="8"/>
        <v>332</v>
      </c>
      <c r="G112" s="552">
        <f t="shared" si="8"/>
        <v>332</v>
      </c>
      <c r="H112" s="552">
        <f t="shared" si="8"/>
        <v>332</v>
      </c>
      <c r="I112" s="552">
        <f t="shared" si="8"/>
        <v>332</v>
      </c>
      <c r="J112" s="552">
        <f t="shared" si="8"/>
        <v>332</v>
      </c>
      <c r="K112" s="552">
        <f t="shared" si="8"/>
        <v>332</v>
      </c>
      <c r="L112" s="552">
        <f t="shared" si="8"/>
        <v>332</v>
      </c>
      <c r="M112" s="552">
        <f t="shared" si="8"/>
        <v>332</v>
      </c>
      <c r="N112" s="552">
        <f t="shared" si="8"/>
        <v>332</v>
      </c>
      <c r="O112" s="552">
        <f t="shared" si="8"/>
        <v>332</v>
      </c>
      <c r="P112" s="552">
        <f t="shared" si="8"/>
        <v>300.75588560650283</v>
      </c>
      <c r="Q112" s="552">
        <f t="shared" si="8"/>
        <v>248.99702834457722</v>
      </c>
      <c r="R112" s="552">
        <f t="shared" si="8"/>
        <v>207.16434552803659</v>
      </c>
      <c r="S112" s="552">
        <f t="shared" si="8"/>
        <v>173.3742387839535</v>
      </c>
      <c r="T112" s="552">
        <f t="shared" si="8"/>
        <v>145.9782487016621</v>
      </c>
    </row>
    <row r="113" spans="1:20" s="568" customFormat="1" ht="13" hidden="1" outlineLevel="1" x14ac:dyDescent="0.3">
      <c r="D113" s="555">
        <v>8.25</v>
      </c>
      <c r="E113" s="552">
        <f t="shared" si="8"/>
        <v>332</v>
      </c>
      <c r="F113" s="552">
        <f t="shared" si="8"/>
        <v>332</v>
      </c>
      <c r="G113" s="552">
        <f t="shared" si="8"/>
        <v>332</v>
      </c>
      <c r="H113" s="552">
        <f t="shared" si="8"/>
        <v>332</v>
      </c>
      <c r="I113" s="552">
        <f t="shared" si="8"/>
        <v>332</v>
      </c>
      <c r="J113" s="552">
        <f t="shared" si="8"/>
        <v>332</v>
      </c>
      <c r="K113" s="552">
        <f t="shared" si="8"/>
        <v>332</v>
      </c>
      <c r="L113" s="552">
        <f t="shared" si="8"/>
        <v>332</v>
      </c>
      <c r="M113" s="552">
        <f t="shared" si="8"/>
        <v>332</v>
      </c>
      <c r="N113" s="552">
        <f t="shared" si="8"/>
        <v>332</v>
      </c>
      <c r="O113" s="552">
        <f t="shared" si="8"/>
        <v>332</v>
      </c>
      <c r="P113" s="552">
        <f t="shared" si="8"/>
        <v>332</v>
      </c>
      <c r="Q113" s="552">
        <f t="shared" ref="F113:T116" si="9">MIN(Q89*$G$6,$G$7)</f>
        <v>279.93835517462361</v>
      </c>
      <c r="R113" s="552">
        <f t="shared" si="9"/>
        <v>233.03066918496671</v>
      </c>
      <c r="S113" s="552">
        <f t="shared" si="9"/>
        <v>195.12139321724942</v>
      </c>
      <c r="T113" s="552">
        <f t="shared" si="9"/>
        <v>164.3727154346914</v>
      </c>
    </row>
    <row r="114" spans="1:20" s="568" customFormat="1" ht="13" hidden="1" outlineLevel="1" x14ac:dyDescent="0.3">
      <c r="D114" s="555">
        <v>8.75</v>
      </c>
      <c r="E114" s="552">
        <f t="shared" si="8"/>
        <v>332</v>
      </c>
      <c r="F114" s="552">
        <f t="shared" si="9"/>
        <v>332</v>
      </c>
      <c r="G114" s="552">
        <f t="shared" si="9"/>
        <v>332</v>
      </c>
      <c r="H114" s="552">
        <f t="shared" si="9"/>
        <v>332</v>
      </c>
      <c r="I114" s="552">
        <f t="shared" si="9"/>
        <v>332</v>
      </c>
      <c r="J114" s="552">
        <f t="shared" si="9"/>
        <v>332</v>
      </c>
      <c r="K114" s="552">
        <f t="shared" si="9"/>
        <v>332</v>
      </c>
      <c r="L114" s="552">
        <f t="shared" si="9"/>
        <v>332</v>
      </c>
      <c r="M114" s="552">
        <f t="shared" si="9"/>
        <v>332</v>
      </c>
      <c r="N114" s="552">
        <f t="shared" si="9"/>
        <v>332</v>
      </c>
      <c r="O114" s="552">
        <f t="shared" si="9"/>
        <v>332</v>
      </c>
      <c r="P114" s="552">
        <f t="shared" si="9"/>
        <v>332</v>
      </c>
      <c r="Q114" s="552">
        <f t="shared" si="9"/>
        <v>312.48116990671741</v>
      </c>
      <c r="R114" s="552">
        <f t="shared" si="9"/>
        <v>260.24936317308288</v>
      </c>
      <c r="S114" s="552">
        <f t="shared" si="9"/>
        <v>218.01835217128291</v>
      </c>
      <c r="T114" s="552">
        <f t="shared" si="9"/>
        <v>183.75122196358708</v>
      </c>
    </row>
    <row r="115" spans="1:20" s="568" customFormat="1" ht="13" hidden="1" outlineLevel="1" x14ac:dyDescent="0.3">
      <c r="D115" s="555">
        <v>9.25</v>
      </c>
      <c r="E115" s="552">
        <f t="shared" si="8"/>
        <v>332</v>
      </c>
      <c r="F115" s="552">
        <f t="shared" si="9"/>
        <v>332</v>
      </c>
      <c r="G115" s="552">
        <f t="shared" si="9"/>
        <v>332</v>
      </c>
      <c r="H115" s="552">
        <f t="shared" si="9"/>
        <v>332</v>
      </c>
      <c r="I115" s="552">
        <f t="shared" si="9"/>
        <v>332</v>
      </c>
      <c r="J115" s="552">
        <f t="shared" si="9"/>
        <v>332</v>
      </c>
      <c r="K115" s="552">
        <f t="shared" si="9"/>
        <v>332</v>
      </c>
      <c r="L115" s="552">
        <f t="shared" si="9"/>
        <v>332</v>
      </c>
      <c r="M115" s="552">
        <f t="shared" si="9"/>
        <v>332</v>
      </c>
      <c r="N115" s="552">
        <f t="shared" si="9"/>
        <v>332</v>
      </c>
      <c r="O115" s="552">
        <f t="shared" si="9"/>
        <v>332</v>
      </c>
      <c r="P115" s="552">
        <f t="shared" si="9"/>
        <v>332</v>
      </c>
      <c r="Q115" s="552">
        <f t="shared" si="9"/>
        <v>332</v>
      </c>
      <c r="R115" s="552">
        <f t="shared" si="9"/>
        <v>288.9272976810031</v>
      </c>
      <c r="S115" s="552">
        <f t="shared" si="9"/>
        <v>242.10121112442354</v>
      </c>
      <c r="T115" s="552">
        <f t="shared" si="9"/>
        <v>204.14588543520006</v>
      </c>
    </row>
    <row r="116" spans="1:20" s="445" customFormat="1" ht="13" hidden="1" outlineLevel="1" x14ac:dyDescent="0.3">
      <c r="B116" s="534"/>
      <c r="C116" s="534"/>
      <c r="D116" s="555">
        <v>9.75</v>
      </c>
      <c r="E116" s="552">
        <f t="shared" si="8"/>
        <v>332</v>
      </c>
      <c r="F116" s="552">
        <f t="shared" si="9"/>
        <v>332</v>
      </c>
      <c r="G116" s="552">
        <f t="shared" si="9"/>
        <v>332</v>
      </c>
      <c r="H116" s="552">
        <f t="shared" si="9"/>
        <v>332</v>
      </c>
      <c r="I116" s="552">
        <f t="shared" si="9"/>
        <v>332</v>
      </c>
      <c r="J116" s="552">
        <f t="shared" si="9"/>
        <v>332</v>
      </c>
      <c r="K116" s="552">
        <f t="shared" si="9"/>
        <v>332</v>
      </c>
      <c r="L116" s="552">
        <f t="shared" si="9"/>
        <v>332</v>
      </c>
      <c r="M116" s="552">
        <f t="shared" si="9"/>
        <v>332</v>
      </c>
      <c r="N116" s="552">
        <f t="shared" si="9"/>
        <v>332</v>
      </c>
      <c r="O116" s="552">
        <f t="shared" si="9"/>
        <v>332</v>
      </c>
      <c r="P116" s="552">
        <f t="shared" si="9"/>
        <v>332</v>
      </c>
      <c r="Q116" s="552">
        <f t="shared" si="9"/>
        <v>332</v>
      </c>
      <c r="R116" s="552">
        <f t="shared" si="9"/>
        <v>318.94748946080966</v>
      </c>
      <c r="S116" s="552">
        <f t="shared" si="9"/>
        <v>267.44833225931183</v>
      </c>
      <c r="T116" s="552">
        <f t="shared" si="9"/>
        <v>225.6285785207119</v>
      </c>
    </row>
    <row r="117" spans="1:20" s="568" customFormat="1" ht="13" hidden="1" outlineLevel="1" x14ac:dyDescent="0.3">
      <c r="B117" s="534"/>
      <c r="C117" s="534"/>
      <c r="D117" s="555"/>
      <c r="E117" s="567"/>
      <c r="F117" s="567"/>
      <c r="G117" s="567"/>
      <c r="H117" s="567"/>
      <c r="I117" s="567"/>
      <c r="J117" s="567"/>
      <c r="K117" s="567"/>
      <c r="L117" s="567"/>
      <c r="M117" s="567"/>
      <c r="N117" s="567"/>
      <c r="O117" s="567"/>
      <c r="P117" s="567"/>
      <c r="Q117" s="567"/>
      <c r="R117" s="567"/>
      <c r="S117" s="567"/>
      <c r="T117" s="567"/>
    </row>
    <row r="118" spans="1:20" hidden="1" outlineLevel="1" x14ac:dyDescent="0.25">
      <c r="B118" s="572"/>
      <c r="C118" s="538"/>
      <c r="D118" s="542"/>
      <c r="E118" s="147"/>
      <c r="F118" s="147"/>
      <c r="G118" s="147"/>
      <c r="H118" s="398"/>
      <c r="I118" s="505"/>
      <c r="J118" s="147"/>
      <c r="K118" s="196"/>
      <c r="L118" s="196"/>
    </row>
    <row r="119" spans="1:20" ht="13" collapsed="1" x14ac:dyDescent="0.3">
      <c r="A119" s="126" t="s">
        <v>180</v>
      </c>
      <c r="J119" s="141"/>
      <c r="K119" s="141"/>
      <c r="L119" s="141"/>
      <c r="N119" s="141"/>
    </row>
    <row r="120" spans="1:20" outlineLevel="1" x14ac:dyDescent="0.25">
      <c r="B120" s="138" t="s">
        <v>187</v>
      </c>
      <c r="G120" s="446">
        <v>20</v>
      </c>
      <c r="H120" s="397"/>
      <c r="I120" s="498"/>
    </row>
    <row r="121" spans="1:20" outlineLevel="1" x14ac:dyDescent="0.25">
      <c r="B121" s="142" t="s">
        <v>186</v>
      </c>
      <c r="G121" s="135">
        <v>0.4</v>
      </c>
      <c r="H121" s="415"/>
      <c r="I121" s="503"/>
    </row>
    <row r="122" spans="1:20" outlineLevel="1" x14ac:dyDescent="0.25">
      <c r="B122" s="142" t="s">
        <v>181</v>
      </c>
      <c r="G122" s="135">
        <v>0</v>
      </c>
      <c r="H122" s="415"/>
      <c r="I122" s="503"/>
    </row>
    <row r="123" spans="1:20" outlineLevel="1" x14ac:dyDescent="0.25">
      <c r="B123" s="142" t="s">
        <v>166</v>
      </c>
      <c r="G123" s="140">
        <f>G121+G122*(1-G121)</f>
        <v>0.4</v>
      </c>
      <c r="H123" s="377"/>
      <c r="I123" s="504"/>
    </row>
    <row r="124" spans="1:20" outlineLevel="1" x14ac:dyDescent="0.25">
      <c r="B124" s="142" t="s">
        <v>165</v>
      </c>
      <c r="G124" s="135">
        <v>0.08</v>
      </c>
      <c r="H124" s="415"/>
      <c r="I124" s="503"/>
    </row>
    <row r="125" spans="1:20" outlineLevel="1" x14ac:dyDescent="0.25">
      <c r="B125" s="142" t="s">
        <v>197</v>
      </c>
      <c r="G125" s="135">
        <v>0.5</v>
      </c>
      <c r="H125" s="415"/>
      <c r="I125" s="503"/>
    </row>
    <row r="126" spans="1:20" outlineLevel="1" x14ac:dyDescent="0.25">
      <c r="B126" s="142" t="s">
        <v>198</v>
      </c>
      <c r="G126" s="135">
        <v>0.5</v>
      </c>
      <c r="H126" s="415"/>
      <c r="I126" s="503"/>
    </row>
    <row r="127" spans="1:20" outlineLevel="1" x14ac:dyDescent="0.25">
      <c r="B127" s="142" t="s">
        <v>183</v>
      </c>
      <c r="G127" s="135">
        <v>0.5</v>
      </c>
      <c r="H127" s="415"/>
      <c r="I127" s="503"/>
    </row>
    <row r="128" spans="1:20" outlineLevel="1" x14ac:dyDescent="0.25">
      <c r="B128" s="142" t="s">
        <v>182</v>
      </c>
      <c r="G128" s="135">
        <v>9.7000000000000003E-2</v>
      </c>
      <c r="H128" s="415"/>
      <c r="I128" s="503"/>
    </row>
    <row r="129" spans="2:12" outlineLevel="1" x14ac:dyDescent="0.25">
      <c r="B129" s="142" t="s">
        <v>184</v>
      </c>
      <c r="G129" s="135">
        <v>0.5</v>
      </c>
      <c r="H129" s="415"/>
      <c r="I129" s="503"/>
    </row>
    <row r="130" spans="2:12" outlineLevel="1" x14ac:dyDescent="0.25">
      <c r="B130" s="142" t="s">
        <v>185</v>
      </c>
      <c r="G130" s="135">
        <v>0.08</v>
      </c>
      <c r="H130" s="415"/>
      <c r="I130" s="503"/>
    </row>
    <row r="131" spans="2:12" outlineLevel="1" x14ac:dyDescent="0.25">
      <c r="B131" s="142" t="s">
        <v>196</v>
      </c>
      <c r="G131" s="143">
        <f>IF(G123&gt;0,G129*G130*(1-G123)+(1-G129)*G128,G129*G130+(1-G129)*G128)</f>
        <v>7.2500000000000009E-2</v>
      </c>
      <c r="H131" s="417"/>
      <c r="I131" s="502"/>
    </row>
    <row r="132" spans="2:12" outlineLevel="1" x14ac:dyDescent="0.25">
      <c r="B132" s="142" t="s">
        <v>164</v>
      </c>
      <c r="F132" s="123" t="s">
        <v>188</v>
      </c>
      <c r="G132" s="144">
        <v>0.2</v>
      </c>
      <c r="H132" s="414"/>
      <c r="I132" s="414"/>
    </row>
    <row r="133" spans="2:12" ht="13" outlineLevel="1" x14ac:dyDescent="0.3">
      <c r="B133" s="126"/>
      <c r="F133" s="123" t="s">
        <v>189</v>
      </c>
      <c r="G133" s="145">
        <v>0.32</v>
      </c>
      <c r="H133" s="380"/>
      <c r="I133" s="380"/>
    </row>
    <row r="134" spans="2:12" outlineLevel="1" x14ac:dyDescent="0.25">
      <c r="F134" s="123" t="s">
        <v>190</v>
      </c>
      <c r="G134" s="145">
        <v>0.192</v>
      </c>
      <c r="H134" s="380"/>
      <c r="I134" s="380"/>
    </row>
    <row r="135" spans="2:12" outlineLevel="1" x14ac:dyDescent="0.25">
      <c r="F135" s="123" t="s">
        <v>191</v>
      </c>
      <c r="G135" s="145">
        <v>0.1152</v>
      </c>
      <c r="H135" s="380"/>
      <c r="I135" s="380"/>
    </row>
    <row r="136" spans="2:12" outlineLevel="1" x14ac:dyDescent="0.25">
      <c r="F136" s="123" t="s">
        <v>192</v>
      </c>
      <c r="G136" s="145">
        <v>0.1152</v>
      </c>
      <c r="H136" s="380"/>
      <c r="I136" s="380"/>
    </row>
    <row r="137" spans="2:12" outlineLevel="1" x14ac:dyDescent="0.25">
      <c r="F137" s="123" t="s">
        <v>193</v>
      </c>
      <c r="G137" s="145">
        <v>5.7599999999999998E-2</v>
      </c>
      <c r="H137" s="380"/>
      <c r="I137" s="380"/>
      <c r="J137" s="139"/>
      <c r="K137" s="139"/>
      <c r="L137" s="139"/>
    </row>
    <row r="138" spans="2:12" outlineLevel="1" x14ac:dyDescent="0.25">
      <c r="B138" s="123" t="s">
        <v>199</v>
      </c>
      <c r="G138" s="136">
        <f>1+(1-G123)*((1+G124)^(0.5)-1)</f>
        <v>1.0235382907247959</v>
      </c>
      <c r="H138" s="123" t="s">
        <v>202</v>
      </c>
    </row>
    <row r="139" spans="2:12" outlineLevel="1" x14ac:dyDescent="0.25">
      <c r="B139" s="123" t="s">
        <v>200</v>
      </c>
      <c r="G139" s="136">
        <f>1+(1-G123)*((1+G124)^(1+0.5)-1)</f>
        <v>1.0734213539827795</v>
      </c>
      <c r="H139" s="123" t="s">
        <v>202</v>
      </c>
    </row>
    <row r="140" spans="2:12" outlineLevel="1" x14ac:dyDescent="0.25">
      <c r="B140" s="123" t="s">
        <v>195</v>
      </c>
      <c r="G140" s="149">
        <f>SUMPRODUCT(G125:G126,G138:G139)</f>
        <v>1.0484798223537877</v>
      </c>
      <c r="H140" s="123"/>
    </row>
    <row r="141" spans="2:12" outlineLevel="1" x14ac:dyDescent="0.25">
      <c r="B141" s="123" t="s">
        <v>203</v>
      </c>
      <c r="G141" s="137">
        <f>-PMT(G131,G120,1)</f>
        <v>9.6234840220136078E-2</v>
      </c>
      <c r="H141" s="123"/>
    </row>
    <row r="142" spans="2:12" outlineLevel="1" x14ac:dyDescent="0.25">
      <c r="B142" s="123" t="s">
        <v>194</v>
      </c>
      <c r="G142" s="146">
        <f>NPV(G131,G132:G137)</f>
        <v>0.82641453990921676</v>
      </c>
      <c r="H142" s="123"/>
    </row>
    <row r="143" spans="2:12" outlineLevel="1" x14ac:dyDescent="0.25">
      <c r="B143" s="123" t="s">
        <v>204</v>
      </c>
      <c r="G143" s="139">
        <v>0.108</v>
      </c>
      <c r="H143" s="852" t="s">
        <v>1387</v>
      </c>
      <c r="I143" s="148"/>
      <c r="K143" s="148"/>
      <c r="L143" s="148"/>
    </row>
    <row r="144" spans="2:12" x14ac:dyDescent="0.25">
      <c r="G144" s="139">
        <f>G140*G141*(1-G123*G142)/(1-G123)</f>
        <v>0.11257683680939656</v>
      </c>
      <c r="H144" s="393" t="s">
        <v>201</v>
      </c>
    </row>
  </sheetData>
  <dataConsolidate/>
  <pageMargins left="0.75" right="0.75" top="1" bottom="1" header="0.5" footer="0.5"/>
  <pageSetup scale="92" orientation="portrait" horizontalDpi="300" verticalDpi="300" r:id="rId1"/>
  <headerFooter alignWithMargins="0"/>
  <colBreaks count="2" manualBreakCount="2">
    <brk id="13" max="1048575" man="1"/>
    <brk id="21" max="1048575" man="1"/>
  </colBreaks>
  <drawing r:id="rId2"/>
  <legacyDrawing r:id="rId3"/>
  <controls>
    <mc:AlternateContent xmlns:mc="http://schemas.openxmlformats.org/markup-compatibility/2006">
      <mc:Choice Requires="x14">
        <control shapeId="29697" r:id="rId4" name="CommandButton1">
          <controlPr locked="0" defaultSize="0" autoLine="0" autoPict="0" r:id="rId5">
            <anchor moveWithCells="1" sizeWithCells="1">
              <from>
                <xdr:col>1</xdr:col>
                <xdr:colOff>38100</xdr:colOff>
                <xdr:row>20</xdr:row>
                <xdr:rowOff>0</xdr:rowOff>
              </from>
              <to>
                <xdr:col>9</xdr:col>
                <xdr:colOff>495300</xdr:colOff>
                <xdr:row>20</xdr:row>
                <xdr:rowOff>0</xdr:rowOff>
              </to>
            </anchor>
          </controlPr>
        </control>
      </mc:Choice>
      <mc:Fallback>
        <control shapeId="29697" r:id="rId4" name="CommandButton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zoomScale="90" zoomScaleNormal="90" workbookViewId="0">
      <selection activeCell="A18" sqref="A18"/>
    </sheetView>
  </sheetViews>
  <sheetFormatPr defaultRowHeight="14.5" x14ac:dyDescent="0.35"/>
  <cols>
    <col min="1" max="1" width="3.26953125" style="725" customWidth="1"/>
    <col min="2" max="2" width="31.81640625" style="725" customWidth="1"/>
    <col min="3" max="3" width="11.26953125" style="725" customWidth="1"/>
    <col min="4" max="4" width="11.453125" style="725" customWidth="1"/>
    <col min="5" max="16384" width="8.7265625" style="725"/>
  </cols>
  <sheetData>
    <row r="2" spans="1:6" x14ac:dyDescent="0.35">
      <c r="A2" s="786" t="s">
        <v>1361</v>
      </c>
      <c r="B2" s="786"/>
      <c r="C2" s="787"/>
      <c r="D2" s="788"/>
    </row>
    <row r="3" spans="1:6" x14ac:dyDescent="0.35">
      <c r="A3" s="280"/>
      <c r="B3" s="280" t="s">
        <v>1362</v>
      </c>
      <c r="C3" s="789">
        <f>'Perf Slow Tuning Heaving Buoy'!C1</f>
        <v>182.61828238196756</v>
      </c>
      <c r="D3" s="790"/>
    </row>
    <row r="4" spans="1:6" x14ac:dyDescent="0.35">
      <c r="A4" s="280"/>
      <c r="B4" s="280" t="s">
        <v>1363</v>
      </c>
      <c r="C4" s="791">
        <f>'Perf Slow Tuning Heaving Buoy'!C2</f>
        <v>481.2499872296292</v>
      </c>
      <c r="D4" s="790"/>
    </row>
    <row r="5" spans="1:6" x14ac:dyDescent="0.35">
      <c r="A5" s="280"/>
      <c r="B5" s="280" t="s">
        <v>1364</v>
      </c>
      <c r="C5" s="791">
        <f>'Perf Slow Tuning Heaving Buoy'!C3</f>
        <v>54.937213154067258</v>
      </c>
      <c r="D5" s="73"/>
    </row>
    <row r="6" spans="1:6" x14ac:dyDescent="0.35">
      <c r="A6" s="280"/>
      <c r="B6" s="280" t="s">
        <v>1365</v>
      </c>
      <c r="C6" s="792">
        <f>'Perf Slow Tuning Heaving Buoy'!C4</f>
        <v>0.30083085021662637</v>
      </c>
      <c r="D6" s="793"/>
    </row>
    <row r="7" spans="1:6" x14ac:dyDescent="0.35">
      <c r="A7" s="786" t="s">
        <v>1366</v>
      </c>
      <c r="B7" s="786"/>
      <c r="C7" s="794"/>
      <c r="D7" s="788"/>
    </row>
    <row r="8" spans="1:6" x14ac:dyDescent="0.35">
      <c r="A8" s="280"/>
      <c r="B8" s="280" t="s">
        <v>1362</v>
      </c>
      <c r="C8" s="789">
        <f>'Perf MPC Heaving Buoy'!C1</f>
        <v>449.15588459470348</v>
      </c>
      <c r="D8" s="790"/>
    </row>
    <row r="9" spans="1:6" x14ac:dyDescent="0.35">
      <c r="A9" s="280"/>
      <c r="B9" s="280" t="s">
        <v>1363</v>
      </c>
      <c r="C9" s="791">
        <f>'Perf MPC Heaving Buoy'!C2</f>
        <v>1180.1726003797112</v>
      </c>
      <c r="D9" s="790"/>
    </row>
    <row r="10" spans="1:6" x14ac:dyDescent="0.35">
      <c r="A10" s="280"/>
      <c r="B10" s="280" t="s">
        <v>1364</v>
      </c>
      <c r="C10" s="791">
        <f>'Perf MPC Heaving Buoy'!C3</f>
        <v>134.72289958672502</v>
      </c>
      <c r="D10" s="73"/>
    </row>
    <row r="11" spans="1:6" x14ac:dyDescent="0.35">
      <c r="A11" s="280"/>
      <c r="B11" s="280" t="s">
        <v>1365</v>
      </c>
      <c r="C11" s="792">
        <f>'Perf MPC Heaving Buoy'!C4</f>
        <v>0.29994686523653685</v>
      </c>
      <c r="D11" s="793"/>
    </row>
    <row r="12" spans="1:6" x14ac:dyDescent="0.35">
      <c r="A12" s="786" t="s">
        <v>1367</v>
      </c>
      <c r="B12" s="280"/>
      <c r="C12" s="795">
        <f>C9/C4</f>
        <v>2.4523067671617205</v>
      </c>
      <c r="D12" s="796"/>
    </row>
    <row r="15" spans="1:6" x14ac:dyDescent="0.35">
      <c r="A15" s="725" t="s">
        <v>1391</v>
      </c>
      <c r="C15" s="517">
        <f>MAX('Perf MPC Heaving Buoy'!AB10:AV29)</f>
        <v>4045893.9058794398</v>
      </c>
      <c r="D15" s="725" t="s">
        <v>1393</v>
      </c>
      <c r="E15" s="517">
        <f>C15/9.81/1000</f>
        <v>412.42547460544745</v>
      </c>
      <c r="F15" s="725" t="s">
        <v>148</v>
      </c>
    </row>
    <row r="16" spans="1:6" x14ac:dyDescent="0.35">
      <c r="A16" s="725" t="s">
        <v>1392</v>
      </c>
      <c r="C16" s="517">
        <f>MAX('Perf Slow Tuning Heaving Buoy'!AB10:AV29)</f>
        <v>3094898.5035246601</v>
      </c>
      <c r="D16" s="725" t="s">
        <v>1393</v>
      </c>
      <c r="E16" s="517">
        <f>C16/9.81/1000</f>
        <v>315.48404725022021</v>
      </c>
      <c r="F16" s="725" t="s">
        <v>148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7"/>
  <sheetViews>
    <sheetView zoomScale="50" zoomScaleNormal="50" workbookViewId="0">
      <selection activeCell="F5" sqref="F5"/>
    </sheetView>
  </sheetViews>
  <sheetFormatPr defaultRowHeight="14.5" x14ac:dyDescent="0.35"/>
  <cols>
    <col min="1" max="16384" width="8.7265625" style="725"/>
  </cols>
  <sheetData>
    <row r="1" spans="1:48" x14ac:dyDescent="0.35">
      <c r="A1" s="725" t="s">
        <v>281</v>
      </c>
      <c r="C1" s="517">
        <v>449.15588459470348</v>
      </c>
      <c r="D1" s="725" t="s">
        <v>135</v>
      </c>
      <c r="E1" s="517"/>
    </row>
    <row r="2" spans="1:48" x14ac:dyDescent="0.35">
      <c r="A2" s="725" t="s">
        <v>1368</v>
      </c>
      <c r="C2" s="517">
        <f>C3*24*365/1000</f>
        <v>1180.1726003797112</v>
      </c>
      <c r="D2" s="725" t="s">
        <v>1369</v>
      </c>
    </row>
    <row r="3" spans="1:48" x14ac:dyDescent="0.35">
      <c r="A3" s="725" t="s">
        <v>1370</v>
      </c>
      <c r="C3" s="355">
        <f>W117</f>
        <v>134.72289958672502</v>
      </c>
      <c r="D3" s="725" t="s">
        <v>135</v>
      </c>
    </row>
    <row r="4" spans="1:48" x14ac:dyDescent="0.35">
      <c r="A4" s="725" t="s">
        <v>1365</v>
      </c>
      <c r="C4" s="797">
        <f>C3/C1</f>
        <v>0.29994686523653685</v>
      </c>
    </row>
    <row r="6" spans="1:48" x14ac:dyDescent="0.35">
      <c r="A6" s="725" t="s">
        <v>1371</v>
      </c>
      <c r="B6" s="545"/>
      <c r="C6" s="545"/>
      <c r="D6" s="545"/>
      <c r="E6" s="545"/>
      <c r="F6" s="545"/>
      <c r="G6" s="545"/>
      <c r="H6" s="545"/>
      <c r="I6" s="545"/>
      <c r="J6" s="545"/>
      <c r="K6" s="545"/>
      <c r="L6" s="545"/>
      <c r="M6" s="545"/>
      <c r="N6" s="545"/>
      <c r="O6" s="545"/>
      <c r="P6" s="545"/>
      <c r="Q6" s="545"/>
      <c r="R6" s="545"/>
      <c r="S6" s="545"/>
      <c r="Z6" s="725" t="s">
        <v>1372</v>
      </c>
      <c r="AA6" s="545"/>
      <c r="AB6" s="545"/>
      <c r="AC6" s="545"/>
      <c r="AD6" s="545"/>
      <c r="AE6" s="545"/>
      <c r="AF6" s="545"/>
      <c r="AG6" s="545"/>
      <c r="AH6" s="545"/>
      <c r="AI6" s="545"/>
      <c r="AJ6" s="545"/>
      <c r="AK6" s="545"/>
      <c r="AL6" s="545"/>
      <c r="AM6" s="545"/>
      <c r="AN6" s="545"/>
      <c r="AO6" s="545"/>
      <c r="AP6" s="545"/>
      <c r="AQ6" s="545"/>
      <c r="AR6" s="545"/>
    </row>
    <row r="7" spans="1:48" ht="15" thickBot="1" x14ac:dyDescent="0.4"/>
    <row r="8" spans="1:48" ht="15" thickBot="1" x14ac:dyDescent="0.4">
      <c r="A8" s="896"/>
      <c r="B8" s="897"/>
      <c r="C8" s="893" t="s">
        <v>1373</v>
      </c>
      <c r="D8" s="894"/>
      <c r="E8" s="894"/>
      <c r="F8" s="894"/>
      <c r="G8" s="894"/>
      <c r="H8" s="894"/>
      <c r="I8" s="894"/>
      <c r="J8" s="894"/>
      <c r="K8" s="894"/>
      <c r="L8" s="894"/>
      <c r="M8" s="894"/>
      <c r="N8" s="894"/>
      <c r="O8" s="894"/>
      <c r="P8" s="894"/>
      <c r="Q8" s="894"/>
      <c r="R8" s="894"/>
      <c r="S8" s="894"/>
      <c r="T8" s="894"/>
      <c r="U8" s="894"/>
      <c r="V8" s="894"/>
      <c r="W8" s="895"/>
      <c r="Z8" s="896"/>
      <c r="AA8" s="897"/>
      <c r="AB8" s="893" t="s">
        <v>1373</v>
      </c>
      <c r="AC8" s="894"/>
      <c r="AD8" s="894"/>
      <c r="AE8" s="894"/>
      <c r="AF8" s="894"/>
      <c r="AG8" s="894"/>
      <c r="AH8" s="894"/>
      <c r="AI8" s="894"/>
      <c r="AJ8" s="894"/>
      <c r="AK8" s="894"/>
      <c r="AL8" s="894"/>
      <c r="AM8" s="894"/>
      <c r="AN8" s="894"/>
      <c r="AO8" s="894"/>
      <c r="AP8" s="894"/>
      <c r="AQ8" s="894"/>
      <c r="AR8" s="894"/>
      <c r="AS8" s="894"/>
      <c r="AT8" s="894"/>
      <c r="AU8" s="894"/>
      <c r="AV8" s="895"/>
    </row>
    <row r="9" spans="1:48" ht="15" thickBot="1" x14ac:dyDescent="0.4">
      <c r="A9" s="898"/>
      <c r="B9" s="899"/>
      <c r="C9" s="798">
        <v>0.5</v>
      </c>
      <c r="D9" s="799">
        <f>C9+1</f>
        <v>1.5</v>
      </c>
      <c r="E9" s="799">
        <f t="shared" ref="E9" si="0">D9+1</f>
        <v>2.5</v>
      </c>
      <c r="F9" s="799">
        <f>E9+1</f>
        <v>3.5</v>
      </c>
      <c r="G9" s="799">
        <f t="shared" ref="G9:W9" si="1">F9+1</f>
        <v>4.5</v>
      </c>
      <c r="H9" s="799">
        <f t="shared" si="1"/>
        <v>5.5</v>
      </c>
      <c r="I9" s="799">
        <f t="shared" si="1"/>
        <v>6.5</v>
      </c>
      <c r="J9" s="799">
        <f t="shared" si="1"/>
        <v>7.5</v>
      </c>
      <c r="K9" s="799">
        <f t="shared" si="1"/>
        <v>8.5</v>
      </c>
      <c r="L9" s="799">
        <f t="shared" si="1"/>
        <v>9.5</v>
      </c>
      <c r="M9" s="799">
        <f t="shared" si="1"/>
        <v>10.5</v>
      </c>
      <c r="N9" s="799">
        <f t="shared" si="1"/>
        <v>11.5</v>
      </c>
      <c r="O9" s="799">
        <f t="shared" si="1"/>
        <v>12.5</v>
      </c>
      <c r="P9" s="799">
        <f t="shared" si="1"/>
        <v>13.5</v>
      </c>
      <c r="Q9" s="799">
        <f t="shared" si="1"/>
        <v>14.5</v>
      </c>
      <c r="R9" s="799">
        <f t="shared" si="1"/>
        <v>15.5</v>
      </c>
      <c r="S9" s="799">
        <f t="shared" si="1"/>
        <v>16.5</v>
      </c>
      <c r="T9" s="799">
        <f t="shared" si="1"/>
        <v>17.5</v>
      </c>
      <c r="U9" s="799">
        <f t="shared" si="1"/>
        <v>18.5</v>
      </c>
      <c r="V9" s="799">
        <f t="shared" si="1"/>
        <v>19.5</v>
      </c>
      <c r="W9" s="800">
        <f t="shared" si="1"/>
        <v>20.5</v>
      </c>
      <c r="Z9" s="898"/>
      <c r="AA9" s="899"/>
      <c r="AB9" s="798">
        <v>0.5</v>
      </c>
      <c r="AC9" s="799">
        <f>AB9+1</f>
        <v>1.5</v>
      </c>
      <c r="AD9" s="799">
        <f t="shared" ref="AD9" si="2">AC9+1</f>
        <v>2.5</v>
      </c>
      <c r="AE9" s="799">
        <f>AD9+1</f>
        <v>3.5</v>
      </c>
      <c r="AF9" s="799">
        <f t="shared" ref="AF9:AV9" si="3">AE9+1</f>
        <v>4.5</v>
      </c>
      <c r="AG9" s="799">
        <f t="shared" si="3"/>
        <v>5.5</v>
      </c>
      <c r="AH9" s="799">
        <f t="shared" si="3"/>
        <v>6.5</v>
      </c>
      <c r="AI9" s="799">
        <f t="shared" si="3"/>
        <v>7.5</v>
      </c>
      <c r="AJ9" s="799">
        <f t="shared" si="3"/>
        <v>8.5</v>
      </c>
      <c r="AK9" s="799">
        <f t="shared" si="3"/>
        <v>9.5</v>
      </c>
      <c r="AL9" s="799">
        <f t="shared" si="3"/>
        <v>10.5</v>
      </c>
      <c r="AM9" s="799">
        <f t="shared" si="3"/>
        <v>11.5</v>
      </c>
      <c r="AN9" s="799">
        <f t="shared" si="3"/>
        <v>12.5</v>
      </c>
      <c r="AO9" s="799">
        <f t="shared" si="3"/>
        <v>13.5</v>
      </c>
      <c r="AP9" s="799">
        <f t="shared" si="3"/>
        <v>14.5</v>
      </c>
      <c r="AQ9" s="799">
        <f t="shared" si="3"/>
        <v>15.5</v>
      </c>
      <c r="AR9" s="799">
        <f t="shared" si="3"/>
        <v>16.5</v>
      </c>
      <c r="AS9" s="799">
        <f t="shared" si="3"/>
        <v>17.5</v>
      </c>
      <c r="AT9" s="799">
        <f t="shared" si="3"/>
        <v>18.5</v>
      </c>
      <c r="AU9" s="799">
        <f t="shared" si="3"/>
        <v>19.5</v>
      </c>
      <c r="AV9" s="800">
        <f t="shared" si="3"/>
        <v>20.5</v>
      </c>
    </row>
    <row r="10" spans="1:48" x14ac:dyDescent="0.35">
      <c r="A10" s="900" t="s">
        <v>1374</v>
      </c>
      <c r="B10" s="801">
        <v>0.25</v>
      </c>
      <c r="C10" s="802">
        <v>0</v>
      </c>
      <c r="D10" s="803">
        <v>0</v>
      </c>
      <c r="E10" s="803">
        <v>0</v>
      </c>
      <c r="F10" s="803">
        <v>0</v>
      </c>
      <c r="G10" s="803">
        <v>0</v>
      </c>
      <c r="H10" s="803">
        <v>0</v>
      </c>
      <c r="I10" s="803">
        <v>0</v>
      </c>
      <c r="J10" s="803">
        <v>7.4207470345290298</v>
      </c>
      <c r="K10" s="803">
        <v>10.904040497108801</v>
      </c>
      <c r="L10" s="803">
        <v>0</v>
      </c>
      <c r="M10" s="803">
        <v>0</v>
      </c>
      <c r="N10" s="803">
        <v>0</v>
      </c>
      <c r="O10" s="803">
        <v>0</v>
      </c>
      <c r="P10" s="803">
        <v>0</v>
      </c>
      <c r="Q10" s="803">
        <v>0</v>
      </c>
      <c r="R10" s="803">
        <v>0</v>
      </c>
      <c r="S10" s="803">
        <v>0</v>
      </c>
      <c r="T10" s="803">
        <v>0</v>
      </c>
      <c r="U10" s="803">
        <v>0</v>
      </c>
      <c r="V10" s="803">
        <v>0</v>
      </c>
      <c r="W10" s="804">
        <v>0</v>
      </c>
      <c r="Z10" s="900" t="s">
        <v>1374</v>
      </c>
      <c r="AA10" s="801">
        <v>0.25</v>
      </c>
      <c r="AB10" s="802">
        <v>0</v>
      </c>
      <c r="AC10" s="803">
        <v>0</v>
      </c>
      <c r="AD10" s="803">
        <v>0</v>
      </c>
      <c r="AE10" s="803">
        <v>0</v>
      </c>
      <c r="AF10" s="803">
        <v>0</v>
      </c>
      <c r="AG10" s="803">
        <v>0</v>
      </c>
      <c r="AH10" s="803">
        <v>0</v>
      </c>
      <c r="AI10" s="803">
        <v>923203.48140858498</v>
      </c>
      <c r="AJ10" s="803">
        <v>924501.42994693795</v>
      </c>
      <c r="AK10" s="803">
        <v>0</v>
      </c>
      <c r="AL10" s="803">
        <v>0</v>
      </c>
      <c r="AM10" s="803">
        <v>0</v>
      </c>
      <c r="AN10" s="803">
        <v>0</v>
      </c>
      <c r="AO10" s="803">
        <v>0</v>
      </c>
      <c r="AP10" s="803">
        <v>0</v>
      </c>
      <c r="AQ10" s="803">
        <v>0</v>
      </c>
      <c r="AR10" s="803">
        <v>0</v>
      </c>
      <c r="AS10" s="803">
        <v>0</v>
      </c>
      <c r="AT10" s="803">
        <v>0</v>
      </c>
      <c r="AU10" s="803">
        <v>0</v>
      </c>
      <c r="AV10" s="804">
        <v>0</v>
      </c>
    </row>
    <row r="11" spans="1:48" x14ac:dyDescent="0.35">
      <c r="A11" s="901"/>
      <c r="B11" s="805">
        <f>B10+0.5</f>
        <v>0.75</v>
      </c>
      <c r="C11" s="806">
        <v>0</v>
      </c>
      <c r="D11" s="73">
        <v>0</v>
      </c>
      <c r="E11" s="73">
        <v>0</v>
      </c>
      <c r="F11" s="73">
        <v>0</v>
      </c>
      <c r="G11" s="73">
        <v>5.35584565355013</v>
      </c>
      <c r="H11" s="73">
        <v>13.263834704708</v>
      </c>
      <c r="I11" s="73">
        <v>26.5002185080379</v>
      </c>
      <c r="J11" s="73">
        <v>36.519952847835803</v>
      </c>
      <c r="K11" s="73">
        <v>41.581187349435503</v>
      </c>
      <c r="L11" s="73">
        <v>43.929390965869402</v>
      </c>
      <c r="M11" s="73">
        <v>45.019172474937299</v>
      </c>
      <c r="N11" s="73">
        <v>45.250974596104598</v>
      </c>
      <c r="O11" s="73">
        <v>45.145295905468103</v>
      </c>
      <c r="P11" s="73">
        <v>0</v>
      </c>
      <c r="Q11" s="73">
        <v>0</v>
      </c>
      <c r="R11" s="73">
        <v>0</v>
      </c>
      <c r="S11" s="73">
        <v>0</v>
      </c>
      <c r="T11" s="73">
        <v>0</v>
      </c>
      <c r="U11" s="73">
        <v>0</v>
      </c>
      <c r="V11" s="73">
        <v>0</v>
      </c>
      <c r="W11" s="807">
        <v>0</v>
      </c>
      <c r="Z11" s="901"/>
      <c r="AA11" s="805">
        <f>AA10+0.5</f>
        <v>0.75</v>
      </c>
      <c r="AB11" s="806">
        <v>0</v>
      </c>
      <c r="AC11" s="73">
        <v>0</v>
      </c>
      <c r="AD11" s="73">
        <v>0</v>
      </c>
      <c r="AE11" s="73">
        <v>0</v>
      </c>
      <c r="AF11" s="73">
        <v>432910.56219122902</v>
      </c>
      <c r="AG11" s="73">
        <v>889115.37294294895</v>
      </c>
      <c r="AH11" s="73">
        <v>873118.62534899404</v>
      </c>
      <c r="AI11" s="73">
        <v>970958.441961337</v>
      </c>
      <c r="AJ11" s="73">
        <v>974301.062307621</v>
      </c>
      <c r="AK11" s="73">
        <v>1007634.79090034</v>
      </c>
      <c r="AL11" s="73">
        <v>1023848.89458313</v>
      </c>
      <c r="AM11" s="73">
        <v>1058918.3978927601</v>
      </c>
      <c r="AN11" s="73">
        <v>1098015.38777919</v>
      </c>
      <c r="AO11" s="73">
        <v>0</v>
      </c>
      <c r="AP11" s="73">
        <v>0</v>
      </c>
      <c r="AQ11" s="73">
        <v>0</v>
      </c>
      <c r="AR11" s="73">
        <v>0</v>
      </c>
      <c r="AS11" s="73">
        <v>0</v>
      </c>
      <c r="AT11" s="73">
        <v>0</v>
      </c>
      <c r="AU11" s="73">
        <v>0</v>
      </c>
      <c r="AV11" s="807">
        <v>0</v>
      </c>
    </row>
    <row r="12" spans="1:48" ht="15.75" customHeight="1" x14ac:dyDescent="0.35">
      <c r="A12" s="901"/>
      <c r="B12" s="805">
        <f t="shared" ref="B12:B29" si="4">B11+0.5</f>
        <v>1.25</v>
      </c>
      <c r="C12" s="806">
        <v>0</v>
      </c>
      <c r="D12" s="73">
        <v>0</v>
      </c>
      <c r="E12" s="73">
        <v>0</v>
      </c>
      <c r="F12" s="73">
        <v>0</v>
      </c>
      <c r="G12" s="73">
        <v>15.752095674966601</v>
      </c>
      <c r="H12" s="73">
        <v>37.289260041215698</v>
      </c>
      <c r="I12" s="73">
        <v>56.440453929142599</v>
      </c>
      <c r="J12" s="73">
        <v>68.683936877346198</v>
      </c>
      <c r="K12" s="73">
        <v>75.292878384978707</v>
      </c>
      <c r="L12" s="73">
        <v>77.768388020280895</v>
      </c>
      <c r="M12" s="73">
        <v>79.112736567912805</v>
      </c>
      <c r="N12" s="73">
        <v>78.668780499058997</v>
      </c>
      <c r="O12" s="73">
        <v>77.913843462384506</v>
      </c>
      <c r="P12" s="73">
        <v>77.181208147020598</v>
      </c>
      <c r="Q12" s="73">
        <v>76.157557956511496</v>
      </c>
      <c r="R12" s="73">
        <v>73.878807734794194</v>
      </c>
      <c r="S12" s="73">
        <v>0</v>
      </c>
      <c r="T12" s="73">
        <v>0</v>
      </c>
      <c r="U12" s="73">
        <v>0</v>
      </c>
      <c r="V12" s="73">
        <v>0</v>
      </c>
      <c r="W12" s="807">
        <v>0</v>
      </c>
      <c r="Z12" s="901"/>
      <c r="AA12" s="805">
        <f t="shared" ref="AA12:AA29" si="5">AA11+0.5</f>
        <v>1.25</v>
      </c>
      <c r="AB12" s="806">
        <v>0</v>
      </c>
      <c r="AC12" s="73">
        <v>0</v>
      </c>
      <c r="AD12" s="73">
        <v>0</v>
      </c>
      <c r="AE12" s="73">
        <v>0</v>
      </c>
      <c r="AF12" s="73">
        <v>650053.49557604105</v>
      </c>
      <c r="AG12" s="73">
        <v>897802.46794485999</v>
      </c>
      <c r="AH12" s="73">
        <v>919261.39781274099</v>
      </c>
      <c r="AI12" s="73">
        <v>987215.43372276996</v>
      </c>
      <c r="AJ12" s="73">
        <v>1085443.70272998</v>
      </c>
      <c r="AK12" s="73">
        <v>1160865.0608964099</v>
      </c>
      <c r="AL12" s="73">
        <v>1184431.3094637401</v>
      </c>
      <c r="AM12" s="73">
        <v>1225310.52107499</v>
      </c>
      <c r="AN12" s="73">
        <v>1291651.57857627</v>
      </c>
      <c r="AO12" s="73">
        <v>1335069.29542825</v>
      </c>
      <c r="AP12" s="73">
        <v>1360530.34649165</v>
      </c>
      <c r="AQ12" s="73">
        <v>1383806.96036786</v>
      </c>
      <c r="AR12" s="73">
        <v>0</v>
      </c>
      <c r="AS12" s="73">
        <v>0</v>
      </c>
      <c r="AT12" s="73">
        <v>0</v>
      </c>
      <c r="AU12" s="73">
        <v>0</v>
      </c>
      <c r="AV12" s="807">
        <v>0</v>
      </c>
    </row>
    <row r="13" spans="1:48" x14ac:dyDescent="0.35">
      <c r="A13" s="901"/>
      <c r="B13" s="805">
        <f t="shared" si="4"/>
        <v>1.75</v>
      </c>
      <c r="C13" s="806">
        <v>0</v>
      </c>
      <c r="D13" s="73">
        <v>0</v>
      </c>
      <c r="E13" s="73">
        <v>0</v>
      </c>
      <c r="F13" s="73">
        <v>0</v>
      </c>
      <c r="G13" s="73">
        <v>0</v>
      </c>
      <c r="H13" s="73">
        <v>63.695724288613</v>
      </c>
      <c r="I13" s="73">
        <v>88.819857041531904</v>
      </c>
      <c r="J13" s="73">
        <v>102.659188048084</v>
      </c>
      <c r="K13" s="73">
        <v>110.311304413729</v>
      </c>
      <c r="L13" s="73">
        <v>112.718856635976</v>
      </c>
      <c r="M13" s="73">
        <v>114.204839466397</v>
      </c>
      <c r="N13" s="73">
        <v>113.219428480999</v>
      </c>
      <c r="O13" s="73">
        <v>111.619816566967</v>
      </c>
      <c r="P13" s="73">
        <v>110.192821523438</v>
      </c>
      <c r="Q13" s="73">
        <v>108.332575421816</v>
      </c>
      <c r="R13" s="73">
        <v>104.876641924244</v>
      </c>
      <c r="S13" s="73">
        <v>0</v>
      </c>
      <c r="T13" s="73">
        <v>0</v>
      </c>
      <c r="U13" s="73">
        <v>0</v>
      </c>
      <c r="V13" s="73">
        <v>0</v>
      </c>
      <c r="W13" s="807">
        <v>0</v>
      </c>
      <c r="Z13" s="901"/>
      <c r="AA13" s="805">
        <f t="shared" si="5"/>
        <v>1.75</v>
      </c>
      <c r="AB13" s="806">
        <v>0</v>
      </c>
      <c r="AC13" s="73">
        <v>0</v>
      </c>
      <c r="AD13" s="73">
        <v>0</v>
      </c>
      <c r="AE13" s="73">
        <v>0</v>
      </c>
      <c r="AF13" s="73">
        <v>0</v>
      </c>
      <c r="AG13" s="73">
        <v>921127.02769279899</v>
      </c>
      <c r="AH13" s="73">
        <v>993754.87562390405</v>
      </c>
      <c r="AI13" s="73">
        <v>1083567.2785009099</v>
      </c>
      <c r="AJ13" s="73">
        <v>1225064.3208042199</v>
      </c>
      <c r="AK13" s="73">
        <v>1309101.22333875</v>
      </c>
      <c r="AL13" s="73">
        <v>1369231.4108189901</v>
      </c>
      <c r="AM13" s="73">
        <v>1411541.90198095</v>
      </c>
      <c r="AN13" s="73">
        <v>1494735.3858356399</v>
      </c>
      <c r="AO13" s="73">
        <v>1554020.3865712599</v>
      </c>
      <c r="AP13" s="73">
        <v>1590363.8141914899</v>
      </c>
      <c r="AQ13" s="73">
        <v>1616309.8962753001</v>
      </c>
      <c r="AR13" s="73">
        <v>0</v>
      </c>
      <c r="AS13" s="73">
        <v>0</v>
      </c>
      <c r="AT13" s="73">
        <v>0</v>
      </c>
      <c r="AU13" s="73">
        <v>0</v>
      </c>
      <c r="AV13" s="807">
        <v>0</v>
      </c>
    </row>
    <row r="14" spans="1:48" ht="15" customHeight="1" x14ac:dyDescent="0.35">
      <c r="A14" s="901"/>
      <c r="B14" s="805">
        <f t="shared" si="4"/>
        <v>2.25</v>
      </c>
      <c r="C14" s="806">
        <v>0</v>
      </c>
      <c r="D14" s="73">
        <v>0</v>
      </c>
      <c r="E14" s="73">
        <v>0</v>
      </c>
      <c r="F14" s="73">
        <v>0</v>
      </c>
      <c r="G14" s="73">
        <v>0</v>
      </c>
      <c r="H14" s="73">
        <v>0</v>
      </c>
      <c r="I14" s="73">
        <v>122.04986524599801</v>
      </c>
      <c r="J14" s="73">
        <v>137.94018607622399</v>
      </c>
      <c r="K14" s="73">
        <v>146.13523603186499</v>
      </c>
      <c r="L14" s="73">
        <v>148.332585950301</v>
      </c>
      <c r="M14" s="73">
        <v>149.89928138409499</v>
      </c>
      <c r="N14" s="73">
        <v>148.41485291184901</v>
      </c>
      <c r="O14" s="73">
        <v>145.83559340007801</v>
      </c>
      <c r="P14" s="73">
        <v>143.625354955418</v>
      </c>
      <c r="Q14" s="73">
        <v>141.02366037303301</v>
      </c>
      <c r="R14" s="73">
        <v>136.33108731326701</v>
      </c>
      <c r="S14" s="73">
        <v>131.719052921215</v>
      </c>
      <c r="T14" s="73">
        <v>0</v>
      </c>
      <c r="U14" s="73">
        <v>0</v>
      </c>
      <c r="V14" s="73">
        <v>0</v>
      </c>
      <c r="W14" s="807">
        <v>0</v>
      </c>
      <c r="Z14" s="901"/>
      <c r="AA14" s="805">
        <f t="shared" si="5"/>
        <v>2.25</v>
      </c>
      <c r="AB14" s="806">
        <v>0</v>
      </c>
      <c r="AC14" s="73">
        <v>0</v>
      </c>
      <c r="AD14" s="73">
        <v>0</v>
      </c>
      <c r="AE14" s="73">
        <v>0</v>
      </c>
      <c r="AF14" s="73">
        <v>0</v>
      </c>
      <c r="AG14" s="73">
        <v>0</v>
      </c>
      <c r="AH14" s="73">
        <v>1058335.9959365299</v>
      </c>
      <c r="AI14" s="73">
        <v>1169123.1537890299</v>
      </c>
      <c r="AJ14" s="73">
        <v>1354492.7916472</v>
      </c>
      <c r="AK14" s="73">
        <v>1497828.48277644</v>
      </c>
      <c r="AL14" s="73">
        <v>1530907.97583092</v>
      </c>
      <c r="AM14" s="73">
        <v>1606738.26448171</v>
      </c>
      <c r="AN14" s="73">
        <v>1704186.9443525099</v>
      </c>
      <c r="AO14" s="73">
        <v>1765107.55715716</v>
      </c>
      <c r="AP14" s="73">
        <v>1826380.7244281501</v>
      </c>
      <c r="AQ14" s="73">
        <v>1861799.4132161201</v>
      </c>
      <c r="AR14" s="73">
        <v>1887196.61898454</v>
      </c>
      <c r="AS14" s="73">
        <v>0</v>
      </c>
      <c r="AT14" s="73">
        <v>0</v>
      </c>
      <c r="AU14" s="73">
        <v>0</v>
      </c>
      <c r="AV14" s="807">
        <v>0</v>
      </c>
    </row>
    <row r="15" spans="1:48" x14ac:dyDescent="0.35">
      <c r="A15" s="901"/>
      <c r="B15" s="805">
        <f t="shared" si="4"/>
        <v>2.75</v>
      </c>
      <c r="C15" s="806">
        <v>0</v>
      </c>
      <c r="D15" s="73">
        <v>0</v>
      </c>
      <c r="E15" s="73">
        <v>0</v>
      </c>
      <c r="F15" s="73">
        <v>0</v>
      </c>
      <c r="G15" s="73">
        <v>0</v>
      </c>
      <c r="H15" s="73">
        <v>0</v>
      </c>
      <c r="I15" s="73">
        <v>155.97103727529901</v>
      </c>
      <c r="J15" s="73">
        <v>174.16957154977399</v>
      </c>
      <c r="K15" s="73">
        <v>182.53426156520499</v>
      </c>
      <c r="L15" s="73">
        <v>184.43001981179901</v>
      </c>
      <c r="M15" s="73">
        <v>185.99725258376199</v>
      </c>
      <c r="N15" s="73">
        <v>184.01008072801901</v>
      </c>
      <c r="O15" s="73">
        <v>180.45364133058899</v>
      </c>
      <c r="P15" s="73">
        <v>177.381884848449</v>
      </c>
      <c r="Q15" s="73">
        <v>173.99083731369899</v>
      </c>
      <c r="R15" s="73">
        <v>168.11126492909801</v>
      </c>
      <c r="S15" s="73">
        <v>162.32793412095401</v>
      </c>
      <c r="T15" s="73">
        <v>0</v>
      </c>
      <c r="U15" s="73">
        <v>0</v>
      </c>
      <c r="V15" s="73">
        <v>0</v>
      </c>
      <c r="W15" s="807">
        <v>0</v>
      </c>
      <c r="Z15" s="901"/>
      <c r="AA15" s="805">
        <f t="shared" si="5"/>
        <v>2.75</v>
      </c>
      <c r="AB15" s="806">
        <v>0</v>
      </c>
      <c r="AC15" s="73">
        <v>0</v>
      </c>
      <c r="AD15" s="73">
        <v>0</v>
      </c>
      <c r="AE15" s="73">
        <v>0</v>
      </c>
      <c r="AF15" s="73">
        <v>0</v>
      </c>
      <c r="AG15" s="73">
        <v>0</v>
      </c>
      <c r="AH15" s="73">
        <v>1165750.1781899901</v>
      </c>
      <c r="AI15" s="73">
        <v>1274772.59936848</v>
      </c>
      <c r="AJ15" s="73">
        <v>1501113.4853713701</v>
      </c>
      <c r="AK15" s="73">
        <v>1660086.69352026</v>
      </c>
      <c r="AL15" s="73">
        <v>1745531.9354976399</v>
      </c>
      <c r="AM15" s="73">
        <v>1796746.0375015</v>
      </c>
      <c r="AN15" s="73">
        <v>1912507.59603586</v>
      </c>
      <c r="AO15" s="73">
        <v>2008152.7045108699</v>
      </c>
      <c r="AP15" s="73">
        <v>2058756.7927971301</v>
      </c>
      <c r="AQ15" s="73">
        <v>2097679.7141212001</v>
      </c>
      <c r="AR15" s="73">
        <v>2142046.9702630602</v>
      </c>
      <c r="AS15" s="73">
        <v>0</v>
      </c>
      <c r="AT15" s="73">
        <v>0</v>
      </c>
      <c r="AU15" s="73">
        <v>0</v>
      </c>
      <c r="AV15" s="807">
        <v>0</v>
      </c>
    </row>
    <row r="16" spans="1:48" x14ac:dyDescent="0.35">
      <c r="A16" s="901"/>
      <c r="B16" s="805">
        <f t="shared" si="4"/>
        <v>3.25</v>
      </c>
      <c r="C16" s="806">
        <v>0</v>
      </c>
      <c r="D16" s="73">
        <v>0</v>
      </c>
      <c r="E16" s="73">
        <v>0</v>
      </c>
      <c r="F16" s="73">
        <v>0</v>
      </c>
      <c r="G16" s="73">
        <v>0</v>
      </c>
      <c r="H16" s="73">
        <v>0</v>
      </c>
      <c r="I16" s="73">
        <v>0</v>
      </c>
      <c r="J16" s="73">
        <v>210.98675089586601</v>
      </c>
      <c r="K16" s="73">
        <v>219.39457356310399</v>
      </c>
      <c r="L16" s="73">
        <v>220.891823623454</v>
      </c>
      <c r="M16" s="73">
        <v>222.40217915528299</v>
      </c>
      <c r="N16" s="73">
        <v>219.89322265069501</v>
      </c>
      <c r="O16" s="73">
        <v>215.387644599319</v>
      </c>
      <c r="P16" s="73">
        <v>211.387608557991</v>
      </c>
      <c r="Q16" s="73">
        <v>207.155153489079</v>
      </c>
      <c r="R16" s="73">
        <v>200.174215777146</v>
      </c>
      <c r="S16" s="73">
        <v>193.16938232572599</v>
      </c>
      <c r="T16" s="73">
        <v>185.35223625616999</v>
      </c>
      <c r="U16" s="73">
        <v>178.12199387370899</v>
      </c>
      <c r="V16" s="73">
        <v>0</v>
      </c>
      <c r="W16" s="807">
        <v>0</v>
      </c>
      <c r="Z16" s="901"/>
      <c r="AA16" s="805">
        <f t="shared" si="5"/>
        <v>3.25</v>
      </c>
      <c r="AB16" s="806">
        <v>0</v>
      </c>
      <c r="AC16" s="73">
        <v>0</v>
      </c>
      <c r="AD16" s="73">
        <v>0</v>
      </c>
      <c r="AE16" s="73">
        <v>0</v>
      </c>
      <c r="AF16" s="73">
        <v>0</v>
      </c>
      <c r="AG16" s="73">
        <v>0</v>
      </c>
      <c r="AH16" s="73">
        <v>0</v>
      </c>
      <c r="AI16" s="73">
        <v>1399382.14010702</v>
      </c>
      <c r="AJ16" s="73">
        <v>1663248.2897357401</v>
      </c>
      <c r="AK16" s="73">
        <v>1831815.01701308</v>
      </c>
      <c r="AL16" s="73">
        <v>1929632.80444233</v>
      </c>
      <c r="AM16" s="73">
        <v>1970342.8968910901</v>
      </c>
      <c r="AN16" s="73">
        <v>2141234.6657535001</v>
      </c>
      <c r="AO16" s="73">
        <v>2232476.48952035</v>
      </c>
      <c r="AP16" s="73">
        <v>2299382.70533298</v>
      </c>
      <c r="AQ16" s="73">
        <v>2356301.7062814101</v>
      </c>
      <c r="AR16" s="73">
        <v>2390332.0189611102</v>
      </c>
      <c r="AS16" s="73">
        <v>2430787.5408839001</v>
      </c>
      <c r="AT16" s="73">
        <v>2475306.5586069301</v>
      </c>
      <c r="AU16" s="73">
        <v>0</v>
      </c>
      <c r="AV16" s="807">
        <v>0</v>
      </c>
    </row>
    <row r="17" spans="1:48" x14ac:dyDescent="0.35">
      <c r="A17" s="901"/>
      <c r="B17" s="805">
        <f t="shared" si="4"/>
        <v>3.75</v>
      </c>
      <c r="C17" s="806">
        <v>0</v>
      </c>
      <c r="D17" s="73">
        <v>0</v>
      </c>
      <c r="E17" s="73">
        <v>0</v>
      </c>
      <c r="F17" s="73">
        <v>0</v>
      </c>
      <c r="G17" s="73">
        <v>0</v>
      </c>
      <c r="H17" s="73">
        <v>0</v>
      </c>
      <c r="I17" s="73">
        <v>0</v>
      </c>
      <c r="J17" s="73">
        <v>248.286560893635</v>
      </c>
      <c r="K17" s="73">
        <v>256.63969057462799</v>
      </c>
      <c r="L17" s="73">
        <v>257.636941101378</v>
      </c>
      <c r="M17" s="73">
        <v>259.04335997574702</v>
      </c>
      <c r="N17" s="73">
        <v>256.00237417977399</v>
      </c>
      <c r="O17" s="73">
        <v>250.57153670436401</v>
      </c>
      <c r="P17" s="73">
        <v>245.59438947800101</v>
      </c>
      <c r="Q17" s="73">
        <v>240.48011084274199</v>
      </c>
      <c r="R17" s="73">
        <v>232.41007795444901</v>
      </c>
      <c r="S17" s="73">
        <v>224.20713688747699</v>
      </c>
      <c r="T17" s="73">
        <v>0</v>
      </c>
      <c r="U17" s="73">
        <v>0</v>
      </c>
      <c r="V17" s="73">
        <v>0</v>
      </c>
      <c r="W17" s="807">
        <v>0</v>
      </c>
      <c r="Z17" s="901"/>
      <c r="AA17" s="805">
        <f t="shared" si="5"/>
        <v>3.75</v>
      </c>
      <c r="AB17" s="806">
        <v>0</v>
      </c>
      <c r="AC17" s="73">
        <v>0</v>
      </c>
      <c r="AD17" s="73">
        <v>0</v>
      </c>
      <c r="AE17" s="73">
        <v>0</v>
      </c>
      <c r="AF17" s="73">
        <v>0</v>
      </c>
      <c r="AG17" s="73">
        <v>0</v>
      </c>
      <c r="AH17" s="73">
        <v>0</v>
      </c>
      <c r="AI17" s="73">
        <v>1530947.58110929</v>
      </c>
      <c r="AJ17" s="73">
        <v>1805408.3904347899</v>
      </c>
      <c r="AK17" s="73">
        <v>2040058.2291893901</v>
      </c>
      <c r="AL17" s="73">
        <v>2115579.6862668502</v>
      </c>
      <c r="AM17" s="73">
        <v>2205594.6683896501</v>
      </c>
      <c r="AN17" s="73">
        <v>2356477.3751365799</v>
      </c>
      <c r="AO17" s="73">
        <v>2456536.68765582</v>
      </c>
      <c r="AP17" s="73">
        <v>2548860.44002691</v>
      </c>
      <c r="AQ17" s="73">
        <v>2601910.7808978301</v>
      </c>
      <c r="AR17" s="73">
        <v>2642032.6484319</v>
      </c>
      <c r="AS17" s="73">
        <v>0</v>
      </c>
      <c r="AT17" s="73">
        <v>0</v>
      </c>
      <c r="AU17" s="73">
        <v>0</v>
      </c>
      <c r="AV17" s="807">
        <v>0</v>
      </c>
    </row>
    <row r="18" spans="1:48" x14ac:dyDescent="0.35">
      <c r="A18" s="901"/>
      <c r="B18" s="805">
        <f t="shared" si="4"/>
        <v>4.25</v>
      </c>
      <c r="C18" s="806">
        <v>0</v>
      </c>
      <c r="D18" s="73">
        <v>0</v>
      </c>
      <c r="E18" s="73">
        <v>0</v>
      </c>
      <c r="F18" s="73">
        <v>0</v>
      </c>
      <c r="G18" s="73">
        <v>0</v>
      </c>
      <c r="H18" s="73">
        <v>0</v>
      </c>
      <c r="I18" s="73">
        <v>0</v>
      </c>
      <c r="J18" s="73">
        <v>0</v>
      </c>
      <c r="K18" s="73">
        <v>294.18347491411402</v>
      </c>
      <c r="L18" s="73">
        <v>294.61594513901701</v>
      </c>
      <c r="M18" s="73">
        <v>295.87598600911502</v>
      </c>
      <c r="N18" s="73">
        <v>292.30403134425001</v>
      </c>
      <c r="O18" s="73">
        <v>285.97623566697501</v>
      </c>
      <c r="P18" s="73">
        <v>279.96499360828699</v>
      </c>
      <c r="Q18" s="73">
        <v>273.93470036150802</v>
      </c>
      <c r="R18" s="73">
        <v>264.76092038279302</v>
      </c>
      <c r="S18" s="73">
        <v>255.41622186558101</v>
      </c>
      <c r="T18" s="73">
        <v>0</v>
      </c>
      <c r="U18" s="73">
        <v>0</v>
      </c>
      <c r="V18" s="73">
        <v>0</v>
      </c>
      <c r="W18" s="807">
        <v>0</v>
      </c>
      <c r="Z18" s="901"/>
      <c r="AA18" s="805">
        <f t="shared" si="5"/>
        <v>4.25</v>
      </c>
      <c r="AB18" s="806">
        <v>0</v>
      </c>
      <c r="AC18" s="73">
        <v>0</v>
      </c>
      <c r="AD18" s="73">
        <v>0</v>
      </c>
      <c r="AE18" s="73">
        <v>0</v>
      </c>
      <c r="AF18" s="73">
        <v>0</v>
      </c>
      <c r="AG18" s="73">
        <v>0</v>
      </c>
      <c r="AH18" s="73">
        <v>0</v>
      </c>
      <c r="AI18" s="73">
        <v>0</v>
      </c>
      <c r="AJ18" s="73">
        <v>1948877.0507274701</v>
      </c>
      <c r="AK18" s="73">
        <v>2217024.8605993399</v>
      </c>
      <c r="AL18" s="73">
        <v>2284016.1369941402</v>
      </c>
      <c r="AM18" s="73">
        <v>2404737.35218069</v>
      </c>
      <c r="AN18" s="73">
        <v>2555401.45057941</v>
      </c>
      <c r="AO18" s="73">
        <v>2716549.25879684</v>
      </c>
      <c r="AP18" s="73">
        <v>2789507.53114228</v>
      </c>
      <c r="AQ18" s="73">
        <v>2844829.07473516</v>
      </c>
      <c r="AR18" s="73">
        <v>2911025.6241606502</v>
      </c>
      <c r="AS18" s="73">
        <v>0</v>
      </c>
      <c r="AT18" s="73">
        <v>0</v>
      </c>
      <c r="AU18" s="73">
        <v>0</v>
      </c>
      <c r="AV18" s="807">
        <v>0</v>
      </c>
    </row>
    <row r="19" spans="1:48" x14ac:dyDescent="0.35">
      <c r="A19" s="901"/>
      <c r="B19" s="805">
        <f t="shared" si="4"/>
        <v>4.75</v>
      </c>
      <c r="C19" s="806">
        <v>0</v>
      </c>
      <c r="D19" s="73">
        <v>0</v>
      </c>
      <c r="E19" s="73">
        <v>0</v>
      </c>
      <c r="F19" s="73">
        <v>0</v>
      </c>
      <c r="G19" s="73">
        <v>0</v>
      </c>
      <c r="H19" s="73">
        <v>0</v>
      </c>
      <c r="I19" s="73">
        <v>0</v>
      </c>
      <c r="J19" s="73">
        <v>0</v>
      </c>
      <c r="K19" s="73">
        <v>331.981768348689</v>
      </c>
      <c r="L19" s="73">
        <v>331.79332658819402</v>
      </c>
      <c r="M19" s="73">
        <v>332.87053017221001</v>
      </c>
      <c r="N19" s="73">
        <v>328.75903772297602</v>
      </c>
      <c r="O19" s="73">
        <v>321.57541691151999</v>
      </c>
      <c r="P19" s="73">
        <v>314.49237362492698</v>
      </c>
      <c r="Q19" s="73">
        <v>307.49497976137002</v>
      </c>
      <c r="R19" s="73">
        <v>297.22163017767798</v>
      </c>
      <c r="S19" s="73">
        <v>286.77609172992999</v>
      </c>
      <c r="T19" s="73">
        <v>0</v>
      </c>
      <c r="U19" s="73">
        <v>0</v>
      </c>
      <c r="V19" s="73">
        <v>0</v>
      </c>
      <c r="W19" s="807">
        <v>0</v>
      </c>
      <c r="Z19" s="901"/>
      <c r="AA19" s="805">
        <f t="shared" si="5"/>
        <v>4.75</v>
      </c>
      <c r="AB19" s="806">
        <v>0</v>
      </c>
      <c r="AC19" s="73">
        <v>0</v>
      </c>
      <c r="AD19" s="73">
        <v>0</v>
      </c>
      <c r="AE19" s="73">
        <v>0</v>
      </c>
      <c r="AF19" s="73">
        <v>0</v>
      </c>
      <c r="AG19" s="73">
        <v>0</v>
      </c>
      <c r="AH19" s="73">
        <v>0</v>
      </c>
      <c r="AI19" s="73">
        <v>0</v>
      </c>
      <c r="AJ19" s="73">
        <v>2077867.9196621799</v>
      </c>
      <c r="AK19" s="73">
        <v>2394165.0253947801</v>
      </c>
      <c r="AL19" s="73">
        <v>2499902.7186256698</v>
      </c>
      <c r="AM19" s="73">
        <v>2604203.7791184699</v>
      </c>
      <c r="AN19" s="73">
        <v>2796730.0646413998</v>
      </c>
      <c r="AO19" s="73">
        <v>2951159.3179929699</v>
      </c>
      <c r="AP19" s="73">
        <v>3020009.3060807702</v>
      </c>
      <c r="AQ19" s="73">
        <v>3107868.9264797498</v>
      </c>
      <c r="AR19" s="73">
        <v>3166451.2714186399</v>
      </c>
      <c r="AS19" s="73">
        <v>0</v>
      </c>
      <c r="AT19" s="73">
        <v>0</v>
      </c>
      <c r="AU19" s="73">
        <v>0</v>
      </c>
      <c r="AV19" s="807">
        <v>0</v>
      </c>
    </row>
    <row r="20" spans="1:48" x14ac:dyDescent="0.35">
      <c r="A20" s="901"/>
      <c r="B20" s="805">
        <f t="shared" si="4"/>
        <v>5.25</v>
      </c>
      <c r="C20" s="806">
        <v>0</v>
      </c>
      <c r="D20" s="73">
        <v>0</v>
      </c>
      <c r="E20" s="73">
        <v>0</v>
      </c>
      <c r="F20" s="73">
        <v>0</v>
      </c>
      <c r="G20" s="73">
        <v>0</v>
      </c>
      <c r="H20" s="73">
        <v>0</v>
      </c>
      <c r="I20" s="73">
        <v>0</v>
      </c>
      <c r="J20" s="73">
        <v>0</v>
      </c>
      <c r="K20" s="73">
        <v>0</v>
      </c>
      <c r="L20" s="73">
        <v>369.14479788180103</v>
      </c>
      <c r="M20" s="73">
        <v>370.000125893985</v>
      </c>
      <c r="N20" s="73">
        <v>365.342188960138</v>
      </c>
      <c r="O20" s="73">
        <v>357.345726875183</v>
      </c>
      <c r="P20" s="73">
        <v>349.171609108388</v>
      </c>
      <c r="Q20" s="73">
        <v>341.14287721125999</v>
      </c>
      <c r="R20" s="73">
        <v>329.76974645257297</v>
      </c>
      <c r="S20" s="73">
        <v>0</v>
      </c>
      <c r="T20" s="73">
        <v>0</v>
      </c>
      <c r="U20" s="73">
        <v>0</v>
      </c>
      <c r="V20" s="73">
        <v>0</v>
      </c>
      <c r="W20" s="807">
        <v>0</v>
      </c>
      <c r="Z20" s="901"/>
      <c r="AA20" s="805">
        <f t="shared" si="5"/>
        <v>5.25</v>
      </c>
      <c r="AB20" s="806">
        <v>0</v>
      </c>
      <c r="AC20" s="73">
        <v>0</v>
      </c>
      <c r="AD20" s="73">
        <v>0</v>
      </c>
      <c r="AE20" s="73">
        <v>0</v>
      </c>
      <c r="AF20" s="73">
        <v>0</v>
      </c>
      <c r="AG20" s="73">
        <v>0</v>
      </c>
      <c r="AH20" s="73">
        <v>0</v>
      </c>
      <c r="AI20" s="73">
        <v>0</v>
      </c>
      <c r="AJ20" s="73">
        <v>0</v>
      </c>
      <c r="AK20" s="73">
        <v>2572975.4049035702</v>
      </c>
      <c r="AL20" s="73">
        <v>2722026.84127915</v>
      </c>
      <c r="AM20" s="73">
        <v>2801746.7789775198</v>
      </c>
      <c r="AN20" s="73">
        <v>3043780.7580925301</v>
      </c>
      <c r="AO20" s="73">
        <v>3185799.2492567399</v>
      </c>
      <c r="AP20" s="73">
        <v>3268666.7317985999</v>
      </c>
      <c r="AQ20" s="73">
        <v>3372289.4777315599</v>
      </c>
      <c r="AR20" s="73">
        <v>0</v>
      </c>
      <c r="AS20" s="73">
        <v>0</v>
      </c>
      <c r="AT20" s="73">
        <v>0</v>
      </c>
      <c r="AU20" s="73">
        <v>0</v>
      </c>
      <c r="AV20" s="807">
        <v>0</v>
      </c>
    </row>
    <row r="21" spans="1:48" x14ac:dyDescent="0.35">
      <c r="A21" s="901"/>
      <c r="B21" s="805">
        <f t="shared" si="4"/>
        <v>5.75</v>
      </c>
      <c r="C21" s="806">
        <v>0</v>
      </c>
      <c r="D21" s="73">
        <v>0</v>
      </c>
      <c r="E21" s="73">
        <v>0</v>
      </c>
      <c r="F21" s="73">
        <v>0</v>
      </c>
      <c r="G21" s="73">
        <v>0</v>
      </c>
      <c r="H21" s="73">
        <v>0</v>
      </c>
      <c r="I21" s="73">
        <v>0</v>
      </c>
      <c r="J21" s="73">
        <v>0</v>
      </c>
      <c r="K21" s="73">
        <v>0</v>
      </c>
      <c r="L21" s="73">
        <v>0</v>
      </c>
      <c r="M21" s="73">
        <v>0</v>
      </c>
      <c r="N21" s="73">
        <v>402.03336052922702</v>
      </c>
      <c r="O21" s="73">
        <v>393.24047354281902</v>
      </c>
      <c r="P21" s="73">
        <v>383.93661794495301</v>
      </c>
      <c r="Q21" s="73">
        <v>374.86865180055901</v>
      </c>
      <c r="R21" s="73">
        <v>362.38811802543398</v>
      </c>
      <c r="S21" s="73">
        <v>0</v>
      </c>
      <c r="T21" s="73">
        <v>0</v>
      </c>
      <c r="U21" s="73">
        <v>0</v>
      </c>
      <c r="V21" s="73">
        <v>0</v>
      </c>
      <c r="W21" s="807">
        <v>0</v>
      </c>
      <c r="Z21" s="901"/>
      <c r="AA21" s="805">
        <f t="shared" si="5"/>
        <v>5.75</v>
      </c>
      <c r="AB21" s="806">
        <v>0</v>
      </c>
      <c r="AC21" s="73">
        <v>0</v>
      </c>
      <c r="AD21" s="73">
        <v>0</v>
      </c>
      <c r="AE21" s="73">
        <v>0</v>
      </c>
      <c r="AF21" s="73">
        <v>0</v>
      </c>
      <c r="AG21" s="73">
        <v>0</v>
      </c>
      <c r="AH21" s="73">
        <v>0</v>
      </c>
      <c r="AI21" s="73">
        <v>0</v>
      </c>
      <c r="AJ21" s="73">
        <v>0</v>
      </c>
      <c r="AK21" s="73">
        <v>0</v>
      </c>
      <c r="AL21" s="73">
        <v>0</v>
      </c>
      <c r="AM21" s="73">
        <v>2983402.3911929899</v>
      </c>
      <c r="AN21" s="73">
        <v>3268079.5540358499</v>
      </c>
      <c r="AO21" s="73">
        <v>3416154.29909688</v>
      </c>
      <c r="AP21" s="73">
        <v>3544802.45807822</v>
      </c>
      <c r="AQ21" s="73">
        <v>3625057.0458490201</v>
      </c>
      <c r="AR21" s="73">
        <v>0</v>
      </c>
      <c r="AS21" s="73">
        <v>0</v>
      </c>
      <c r="AT21" s="73">
        <v>0</v>
      </c>
      <c r="AU21" s="73">
        <v>0</v>
      </c>
      <c r="AV21" s="807">
        <v>0</v>
      </c>
    </row>
    <row r="22" spans="1:48" x14ac:dyDescent="0.35">
      <c r="A22" s="901"/>
      <c r="B22" s="805">
        <f t="shared" si="4"/>
        <v>6.25</v>
      </c>
      <c r="C22" s="806">
        <v>0</v>
      </c>
      <c r="D22" s="73">
        <v>0</v>
      </c>
      <c r="E22" s="73">
        <v>0</v>
      </c>
      <c r="F22" s="73">
        <v>0</v>
      </c>
      <c r="G22" s="73">
        <v>0</v>
      </c>
      <c r="H22" s="73">
        <v>0</v>
      </c>
      <c r="I22" s="73">
        <v>0</v>
      </c>
      <c r="J22" s="73">
        <v>0</v>
      </c>
      <c r="K22" s="73">
        <v>0</v>
      </c>
      <c r="L22" s="73">
        <v>0</v>
      </c>
      <c r="M22" s="73">
        <v>0</v>
      </c>
      <c r="N22" s="73">
        <v>0</v>
      </c>
      <c r="O22" s="73">
        <v>429.22295884441098</v>
      </c>
      <c r="P22" s="73">
        <v>418.788107599895</v>
      </c>
      <c r="Q22" s="73">
        <v>408.67032532200398</v>
      </c>
      <c r="R22" s="73">
        <v>395.06902817434502</v>
      </c>
      <c r="S22" s="73">
        <v>0</v>
      </c>
      <c r="T22" s="73">
        <v>0</v>
      </c>
      <c r="U22" s="73">
        <v>0</v>
      </c>
      <c r="V22" s="73">
        <v>0</v>
      </c>
      <c r="W22" s="807">
        <v>0</v>
      </c>
      <c r="Z22" s="901"/>
      <c r="AA22" s="805">
        <f t="shared" si="5"/>
        <v>6.25</v>
      </c>
      <c r="AB22" s="806">
        <v>0</v>
      </c>
      <c r="AC22" s="73">
        <v>0</v>
      </c>
      <c r="AD22" s="73">
        <v>0</v>
      </c>
      <c r="AE22" s="73">
        <v>0</v>
      </c>
      <c r="AF22" s="73">
        <v>0</v>
      </c>
      <c r="AG22" s="73">
        <v>0</v>
      </c>
      <c r="AH22" s="73">
        <v>0</v>
      </c>
      <c r="AI22" s="73">
        <v>0</v>
      </c>
      <c r="AJ22" s="73">
        <v>0</v>
      </c>
      <c r="AK22" s="73">
        <v>0</v>
      </c>
      <c r="AL22" s="73">
        <v>0</v>
      </c>
      <c r="AM22" s="73">
        <v>0</v>
      </c>
      <c r="AN22" s="73">
        <v>3492395.1552860099</v>
      </c>
      <c r="AO22" s="73">
        <v>3636509.4665339701</v>
      </c>
      <c r="AP22" s="73">
        <v>3797487.3439864502</v>
      </c>
      <c r="AQ22" s="73">
        <v>3877805.9174630698</v>
      </c>
      <c r="AR22" s="73">
        <v>0</v>
      </c>
      <c r="AS22" s="73">
        <v>0</v>
      </c>
      <c r="AT22" s="73">
        <v>0</v>
      </c>
      <c r="AU22" s="73">
        <v>0</v>
      </c>
      <c r="AV22" s="807">
        <v>0</v>
      </c>
    </row>
    <row r="23" spans="1:48" x14ac:dyDescent="0.35">
      <c r="A23" s="901"/>
      <c r="B23" s="805">
        <f t="shared" si="4"/>
        <v>6.75</v>
      </c>
      <c r="C23" s="806">
        <v>0</v>
      </c>
      <c r="D23" s="73">
        <v>0</v>
      </c>
      <c r="E23" s="73">
        <v>0</v>
      </c>
      <c r="F23" s="73">
        <v>0</v>
      </c>
      <c r="G23" s="73">
        <v>0</v>
      </c>
      <c r="H23" s="73">
        <v>0</v>
      </c>
      <c r="I23" s="73">
        <v>0</v>
      </c>
      <c r="J23" s="73">
        <v>0</v>
      </c>
      <c r="K23" s="73">
        <v>0</v>
      </c>
      <c r="L23" s="73">
        <v>0</v>
      </c>
      <c r="M23" s="73">
        <v>0</v>
      </c>
      <c r="N23" s="73">
        <v>0</v>
      </c>
      <c r="O23" s="73">
        <v>0</v>
      </c>
      <c r="P23" s="73">
        <v>453.71608614034398</v>
      </c>
      <c r="Q23" s="73">
        <v>442.53149460056102</v>
      </c>
      <c r="R23" s="73">
        <v>0</v>
      </c>
      <c r="S23" s="73">
        <v>0</v>
      </c>
      <c r="T23" s="73">
        <v>0</v>
      </c>
      <c r="U23" s="73">
        <v>0</v>
      </c>
      <c r="V23" s="73">
        <v>0</v>
      </c>
      <c r="W23" s="807">
        <v>0</v>
      </c>
      <c r="Z23" s="901"/>
      <c r="AA23" s="805">
        <f t="shared" si="5"/>
        <v>6.75</v>
      </c>
      <c r="AB23" s="806">
        <v>0</v>
      </c>
      <c r="AC23" s="73">
        <v>0</v>
      </c>
      <c r="AD23" s="73">
        <v>0</v>
      </c>
      <c r="AE23" s="73">
        <v>0</v>
      </c>
      <c r="AF23" s="73">
        <v>0</v>
      </c>
      <c r="AG23" s="73">
        <v>0</v>
      </c>
      <c r="AH23" s="73">
        <v>0</v>
      </c>
      <c r="AI23" s="73">
        <v>0</v>
      </c>
      <c r="AJ23" s="73">
        <v>0</v>
      </c>
      <c r="AK23" s="73">
        <v>0</v>
      </c>
      <c r="AL23" s="73">
        <v>0</v>
      </c>
      <c r="AM23" s="73">
        <v>0</v>
      </c>
      <c r="AN23" s="73">
        <v>0</v>
      </c>
      <c r="AO23" s="73">
        <v>3904967.5430751601</v>
      </c>
      <c r="AP23" s="73">
        <v>4045893.9058794398</v>
      </c>
      <c r="AQ23" s="73">
        <v>0</v>
      </c>
      <c r="AR23" s="73">
        <v>0</v>
      </c>
      <c r="AS23" s="73">
        <v>0</v>
      </c>
      <c r="AT23" s="73">
        <v>0</v>
      </c>
      <c r="AU23" s="73">
        <v>0</v>
      </c>
      <c r="AV23" s="807">
        <v>0</v>
      </c>
    </row>
    <row r="24" spans="1:48" x14ac:dyDescent="0.35">
      <c r="A24" s="901"/>
      <c r="B24" s="805">
        <f t="shared" si="4"/>
        <v>7.25</v>
      </c>
      <c r="C24" s="806">
        <v>0</v>
      </c>
      <c r="D24" s="73">
        <v>0</v>
      </c>
      <c r="E24" s="73">
        <v>0</v>
      </c>
      <c r="F24" s="73">
        <v>0</v>
      </c>
      <c r="G24" s="73">
        <v>0</v>
      </c>
      <c r="H24" s="73">
        <v>0</v>
      </c>
      <c r="I24" s="73">
        <v>0</v>
      </c>
      <c r="J24" s="73">
        <v>0</v>
      </c>
      <c r="K24" s="73">
        <v>0</v>
      </c>
      <c r="L24" s="73">
        <v>0</v>
      </c>
      <c r="M24" s="73">
        <v>0</v>
      </c>
      <c r="N24" s="73">
        <v>0</v>
      </c>
      <c r="O24" s="73">
        <v>0</v>
      </c>
      <c r="P24" s="73">
        <v>0</v>
      </c>
      <c r="Q24" s="73">
        <v>0</v>
      </c>
      <c r="R24" s="73">
        <v>0</v>
      </c>
      <c r="S24" s="73">
        <v>0</v>
      </c>
      <c r="T24" s="73">
        <v>0</v>
      </c>
      <c r="U24" s="73">
        <v>0</v>
      </c>
      <c r="V24" s="73">
        <v>0</v>
      </c>
      <c r="W24" s="807">
        <v>0</v>
      </c>
      <c r="Z24" s="901"/>
      <c r="AA24" s="805">
        <f t="shared" si="5"/>
        <v>7.25</v>
      </c>
      <c r="AB24" s="806">
        <v>0</v>
      </c>
      <c r="AC24" s="73">
        <v>0</v>
      </c>
      <c r="AD24" s="73">
        <v>0</v>
      </c>
      <c r="AE24" s="73">
        <v>0</v>
      </c>
      <c r="AF24" s="73">
        <v>0</v>
      </c>
      <c r="AG24" s="73">
        <v>0</v>
      </c>
      <c r="AH24" s="73">
        <v>0</v>
      </c>
      <c r="AI24" s="73">
        <v>0</v>
      </c>
      <c r="AJ24" s="73">
        <v>0</v>
      </c>
      <c r="AK24" s="73">
        <v>0</v>
      </c>
      <c r="AL24" s="73">
        <v>0</v>
      </c>
      <c r="AM24" s="73">
        <v>0</v>
      </c>
      <c r="AN24" s="73">
        <v>0</v>
      </c>
      <c r="AO24" s="73">
        <v>0</v>
      </c>
      <c r="AP24" s="73">
        <v>0</v>
      </c>
      <c r="AQ24" s="73">
        <v>0</v>
      </c>
      <c r="AR24" s="73">
        <v>0</v>
      </c>
      <c r="AS24" s="73">
        <v>0</v>
      </c>
      <c r="AT24" s="73">
        <v>0</v>
      </c>
      <c r="AU24" s="73">
        <v>0</v>
      </c>
      <c r="AV24" s="807">
        <v>0</v>
      </c>
    </row>
    <row r="25" spans="1:48" x14ac:dyDescent="0.35">
      <c r="A25" s="901"/>
      <c r="B25" s="805">
        <f t="shared" si="4"/>
        <v>7.75</v>
      </c>
      <c r="C25" s="806">
        <v>0</v>
      </c>
      <c r="D25" s="73">
        <v>0</v>
      </c>
      <c r="E25" s="73">
        <v>0</v>
      </c>
      <c r="F25" s="73">
        <v>0</v>
      </c>
      <c r="G25" s="73">
        <v>0</v>
      </c>
      <c r="H25" s="73">
        <v>0</v>
      </c>
      <c r="I25" s="73">
        <v>0</v>
      </c>
      <c r="J25" s="73">
        <v>0</v>
      </c>
      <c r="K25" s="73">
        <v>0</v>
      </c>
      <c r="L25" s="73">
        <v>0</v>
      </c>
      <c r="M25" s="73">
        <v>0</v>
      </c>
      <c r="N25" s="73">
        <v>0</v>
      </c>
      <c r="O25" s="73">
        <v>0</v>
      </c>
      <c r="P25" s="73">
        <v>0</v>
      </c>
      <c r="Q25" s="73">
        <v>0</v>
      </c>
      <c r="R25" s="73">
        <v>0</v>
      </c>
      <c r="S25" s="73">
        <v>0</v>
      </c>
      <c r="T25" s="73">
        <v>0</v>
      </c>
      <c r="U25" s="73">
        <v>0</v>
      </c>
      <c r="V25" s="73">
        <v>0</v>
      </c>
      <c r="W25" s="807">
        <v>0</v>
      </c>
      <c r="Z25" s="901"/>
      <c r="AA25" s="805">
        <f t="shared" si="5"/>
        <v>7.75</v>
      </c>
      <c r="AB25" s="806">
        <v>0</v>
      </c>
      <c r="AC25" s="73">
        <v>0</v>
      </c>
      <c r="AD25" s="73">
        <v>0</v>
      </c>
      <c r="AE25" s="73">
        <v>0</v>
      </c>
      <c r="AF25" s="73">
        <v>0</v>
      </c>
      <c r="AG25" s="73">
        <v>0</v>
      </c>
      <c r="AH25" s="73">
        <v>0</v>
      </c>
      <c r="AI25" s="73">
        <v>0</v>
      </c>
      <c r="AJ25" s="73">
        <v>0</v>
      </c>
      <c r="AK25" s="73">
        <v>0</v>
      </c>
      <c r="AL25" s="73">
        <v>0</v>
      </c>
      <c r="AM25" s="73">
        <v>0</v>
      </c>
      <c r="AN25" s="73">
        <v>0</v>
      </c>
      <c r="AO25" s="73">
        <v>0</v>
      </c>
      <c r="AP25" s="73">
        <v>0</v>
      </c>
      <c r="AQ25" s="73">
        <v>0</v>
      </c>
      <c r="AR25" s="73">
        <v>0</v>
      </c>
      <c r="AS25" s="73">
        <v>0</v>
      </c>
      <c r="AT25" s="73">
        <v>0</v>
      </c>
      <c r="AU25" s="73">
        <v>0</v>
      </c>
      <c r="AV25" s="807">
        <v>0</v>
      </c>
    </row>
    <row r="26" spans="1:48" x14ac:dyDescent="0.35">
      <c r="A26" s="901"/>
      <c r="B26" s="805">
        <f t="shared" si="4"/>
        <v>8.25</v>
      </c>
      <c r="C26" s="806">
        <v>0</v>
      </c>
      <c r="D26" s="73">
        <v>0</v>
      </c>
      <c r="E26" s="73">
        <v>0</v>
      </c>
      <c r="F26" s="73">
        <v>0</v>
      </c>
      <c r="G26" s="73">
        <v>0</v>
      </c>
      <c r="H26" s="73">
        <v>0</v>
      </c>
      <c r="I26" s="73">
        <v>0</v>
      </c>
      <c r="J26" s="73">
        <v>0</v>
      </c>
      <c r="K26" s="73">
        <v>0</v>
      </c>
      <c r="L26" s="73">
        <v>0</v>
      </c>
      <c r="M26" s="73">
        <v>0</v>
      </c>
      <c r="N26" s="73">
        <v>0</v>
      </c>
      <c r="O26" s="73">
        <v>0</v>
      </c>
      <c r="P26" s="73">
        <v>0</v>
      </c>
      <c r="Q26" s="73">
        <v>0</v>
      </c>
      <c r="R26" s="73">
        <v>0</v>
      </c>
      <c r="S26" s="73">
        <v>0</v>
      </c>
      <c r="T26" s="73">
        <v>0</v>
      </c>
      <c r="U26" s="73">
        <v>0</v>
      </c>
      <c r="V26" s="73">
        <v>0</v>
      </c>
      <c r="W26" s="807">
        <v>0</v>
      </c>
      <c r="Z26" s="901"/>
      <c r="AA26" s="805">
        <f t="shared" si="5"/>
        <v>8.25</v>
      </c>
      <c r="AB26" s="806">
        <v>0</v>
      </c>
      <c r="AC26" s="73">
        <v>0</v>
      </c>
      <c r="AD26" s="73">
        <v>0</v>
      </c>
      <c r="AE26" s="73">
        <v>0</v>
      </c>
      <c r="AF26" s="73">
        <v>0</v>
      </c>
      <c r="AG26" s="73">
        <v>0</v>
      </c>
      <c r="AH26" s="73">
        <v>0</v>
      </c>
      <c r="AI26" s="73">
        <v>0</v>
      </c>
      <c r="AJ26" s="73">
        <v>0</v>
      </c>
      <c r="AK26" s="73">
        <v>0</v>
      </c>
      <c r="AL26" s="73">
        <v>0</v>
      </c>
      <c r="AM26" s="73">
        <v>0</v>
      </c>
      <c r="AN26" s="73">
        <v>0</v>
      </c>
      <c r="AO26" s="73">
        <v>0</v>
      </c>
      <c r="AP26" s="73">
        <v>0</v>
      </c>
      <c r="AQ26" s="73">
        <v>0</v>
      </c>
      <c r="AR26" s="73">
        <v>0</v>
      </c>
      <c r="AS26" s="73">
        <v>0</v>
      </c>
      <c r="AT26" s="73">
        <v>0</v>
      </c>
      <c r="AU26" s="73">
        <v>0</v>
      </c>
      <c r="AV26" s="807">
        <v>0</v>
      </c>
    </row>
    <row r="27" spans="1:48" x14ac:dyDescent="0.35">
      <c r="A27" s="901"/>
      <c r="B27" s="805">
        <f t="shared" si="4"/>
        <v>8.75</v>
      </c>
      <c r="C27" s="806">
        <v>0</v>
      </c>
      <c r="D27" s="73">
        <v>0</v>
      </c>
      <c r="E27" s="73">
        <v>0</v>
      </c>
      <c r="F27" s="73">
        <v>0</v>
      </c>
      <c r="G27" s="73">
        <v>0</v>
      </c>
      <c r="H27" s="73">
        <v>0</v>
      </c>
      <c r="I27" s="73">
        <v>0</v>
      </c>
      <c r="J27" s="73">
        <v>0</v>
      </c>
      <c r="K27" s="73">
        <v>0</v>
      </c>
      <c r="L27" s="73">
        <v>0</v>
      </c>
      <c r="M27" s="73">
        <v>0</v>
      </c>
      <c r="N27" s="73">
        <v>0</v>
      </c>
      <c r="O27" s="73">
        <v>0</v>
      </c>
      <c r="P27" s="73">
        <v>0</v>
      </c>
      <c r="Q27" s="73">
        <v>0</v>
      </c>
      <c r="R27" s="73">
        <v>0</v>
      </c>
      <c r="S27" s="73">
        <v>0</v>
      </c>
      <c r="T27" s="73">
        <v>0</v>
      </c>
      <c r="U27" s="73">
        <v>0</v>
      </c>
      <c r="V27" s="73">
        <v>0</v>
      </c>
      <c r="W27" s="807">
        <v>0</v>
      </c>
      <c r="Z27" s="901"/>
      <c r="AA27" s="805">
        <f t="shared" si="5"/>
        <v>8.75</v>
      </c>
      <c r="AB27" s="806">
        <v>0</v>
      </c>
      <c r="AC27" s="73">
        <v>0</v>
      </c>
      <c r="AD27" s="73">
        <v>0</v>
      </c>
      <c r="AE27" s="73">
        <v>0</v>
      </c>
      <c r="AF27" s="73">
        <v>0</v>
      </c>
      <c r="AG27" s="73">
        <v>0</v>
      </c>
      <c r="AH27" s="73">
        <v>0</v>
      </c>
      <c r="AI27" s="73">
        <v>0</v>
      </c>
      <c r="AJ27" s="73">
        <v>0</v>
      </c>
      <c r="AK27" s="73">
        <v>0</v>
      </c>
      <c r="AL27" s="73">
        <v>0</v>
      </c>
      <c r="AM27" s="73">
        <v>0</v>
      </c>
      <c r="AN27" s="73">
        <v>0</v>
      </c>
      <c r="AO27" s="73">
        <v>0</v>
      </c>
      <c r="AP27" s="73">
        <v>0</v>
      </c>
      <c r="AQ27" s="73">
        <v>0</v>
      </c>
      <c r="AR27" s="73">
        <v>0</v>
      </c>
      <c r="AS27" s="73">
        <v>0</v>
      </c>
      <c r="AT27" s="73">
        <v>0</v>
      </c>
      <c r="AU27" s="73">
        <v>0</v>
      </c>
      <c r="AV27" s="807">
        <v>0</v>
      </c>
    </row>
    <row r="28" spans="1:48" x14ac:dyDescent="0.35">
      <c r="A28" s="901"/>
      <c r="B28" s="805">
        <f t="shared" si="4"/>
        <v>9.25</v>
      </c>
      <c r="C28" s="806">
        <v>0</v>
      </c>
      <c r="D28" s="73">
        <v>0</v>
      </c>
      <c r="E28" s="73">
        <v>0</v>
      </c>
      <c r="F28" s="73">
        <v>0</v>
      </c>
      <c r="G28" s="73">
        <v>0</v>
      </c>
      <c r="H28" s="73">
        <v>0</v>
      </c>
      <c r="I28" s="73">
        <v>0</v>
      </c>
      <c r="J28" s="73">
        <v>0</v>
      </c>
      <c r="K28" s="73">
        <v>0</v>
      </c>
      <c r="L28" s="73">
        <v>0</v>
      </c>
      <c r="M28" s="73">
        <v>0</v>
      </c>
      <c r="N28" s="73">
        <v>0</v>
      </c>
      <c r="O28" s="73">
        <v>0</v>
      </c>
      <c r="P28" s="73">
        <v>0</v>
      </c>
      <c r="Q28" s="73">
        <v>0</v>
      </c>
      <c r="R28" s="73">
        <v>0</v>
      </c>
      <c r="S28" s="73">
        <v>0</v>
      </c>
      <c r="T28" s="73">
        <v>0</v>
      </c>
      <c r="U28" s="73">
        <v>0</v>
      </c>
      <c r="V28" s="73">
        <v>0</v>
      </c>
      <c r="W28" s="807">
        <v>0</v>
      </c>
      <c r="Z28" s="901"/>
      <c r="AA28" s="805">
        <f t="shared" si="5"/>
        <v>9.25</v>
      </c>
      <c r="AB28" s="806">
        <v>0</v>
      </c>
      <c r="AC28" s="73">
        <v>0</v>
      </c>
      <c r="AD28" s="73">
        <v>0</v>
      </c>
      <c r="AE28" s="73">
        <v>0</v>
      </c>
      <c r="AF28" s="73">
        <v>0</v>
      </c>
      <c r="AG28" s="73">
        <v>0</v>
      </c>
      <c r="AH28" s="73">
        <v>0</v>
      </c>
      <c r="AI28" s="73">
        <v>0</v>
      </c>
      <c r="AJ28" s="73">
        <v>0</v>
      </c>
      <c r="AK28" s="73">
        <v>0</v>
      </c>
      <c r="AL28" s="73">
        <v>0</v>
      </c>
      <c r="AM28" s="73">
        <v>0</v>
      </c>
      <c r="AN28" s="73">
        <v>0</v>
      </c>
      <c r="AO28" s="73">
        <v>0</v>
      </c>
      <c r="AP28" s="73">
        <v>0</v>
      </c>
      <c r="AQ28" s="73">
        <v>0</v>
      </c>
      <c r="AR28" s="73">
        <v>0</v>
      </c>
      <c r="AS28" s="73">
        <v>0</v>
      </c>
      <c r="AT28" s="73">
        <v>0</v>
      </c>
      <c r="AU28" s="73">
        <v>0</v>
      </c>
      <c r="AV28" s="807">
        <v>0</v>
      </c>
    </row>
    <row r="29" spans="1:48" ht="15" thickBot="1" x14ac:dyDescent="0.4">
      <c r="A29" s="902"/>
      <c r="B29" s="808">
        <f t="shared" si="4"/>
        <v>9.75</v>
      </c>
      <c r="C29" s="809">
        <v>0</v>
      </c>
      <c r="D29" s="810">
        <v>0</v>
      </c>
      <c r="E29" s="810">
        <v>0</v>
      </c>
      <c r="F29" s="810">
        <v>0</v>
      </c>
      <c r="G29" s="810">
        <v>0</v>
      </c>
      <c r="H29" s="810">
        <v>0</v>
      </c>
      <c r="I29" s="810">
        <v>0</v>
      </c>
      <c r="J29" s="810">
        <v>0</v>
      </c>
      <c r="K29" s="810">
        <v>0</v>
      </c>
      <c r="L29" s="810">
        <v>0</v>
      </c>
      <c r="M29" s="810">
        <v>0</v>
      </c>
      <c r="N29" s="810">
        <v>0</v>
      </c>
      <c r="O29" s="810">
        <v>0</v>
      </c>
      <c r="P29" s="810">
        <v>0</v>
      </c>
      <c r="Q29" s="810">
        <v>0</v>
      </c>
      <c r="R29" s="810">
        <v>0</v>
      </c>
      <c r="S29" s="810">
        <v>0</v>
      </c>
      <c r="T29" s="810">
        <v>0</v>
      </c>
      <c r="U29" s="810">
        <v>0</v>
      </c>
      <c r="V29" s="810">
        <v>0</v>
      </c>
      <c r="W29" s="811">
        <v>0</v>
      </c>
      <c r="Z29" s="902"/>
      <c r="AA29" s="808">
        <f t="shared" si="5"/>
        <v>9.75</v>
      </c>
      <c r="AB29" s="809">
        <v>0</v>
      </c>
      <c r="AC29" s="810">
        <v>0</v>
      </c>
      <c r="AD29" s="810">
        <v>0</v>
      </c>
      <c r="AE29" s="810">
        <v>0</v>
      </c>
      <c r="AF29" s="810">
        <v>0</v>
      </c>
      <c r="AG29" s="810">
        <v>0</v>
      </c>
      <c r="AH29" s="810">
        <v>0</v>
      </c>
      <c r="AI29" s="810">
        <v>0</v>
      </c>
      <c r="AJ29" s="810">
        <v>0</v>
      </c>
      <c r="AK29" s="810">
        <v>0</v>
      </c>
      <c r="AL29" s="810">
        <v>0</v>
      </c>
      <c r="AM29" s="810">
        <v>0</v>
      </c>
      <c r="AN29" s="810">
        <v>0</v>
      </c>
      <c r="AO29" s="810">
        <v>0</v>
      </c>
      <c r="AP29" s="810">
        <v>0</v>
      </c>
      <c r="AQ29" s="810">
        <v>0</v>
      </c>
      <c r="AR29" s="810">
        <v>0</v>
      </c>
      <c r="AS29" s="810">
        <v>0</v>
      </c>
      <c r="AT29" s="810">
        <v>0</v>
      </c>
      <c r="AU29" s="810">
        <v>0</v>
      </c>
      <c r="AV29" s="811">
        <v>0</v>
      </c>
    </row>
    <row r="30" spans="1:48" ht="15" thickBot="1" x14ac:dyDescent="0.4">
      <c r="A30" s="812"/>
      <c r="B30" s="545"/>
      <c r="C30" s="813">
        <f>C9*1.16</f>
        <v>0.57999999999999996</v>
      </c>
      <c r="D30" s="813">
        <f t="shared" ref="D30:W30" si="6">D9*1.16</f>
        <v>1.7399999999999998</v>
      </c>
      <c r="E30" s="813">
        <f t="shared" si="6"/>
        <v>2.9</v>
      </c>
      <c r="F30" s="813">
        <f t="shared" si="6"/>
        <v>4.0599999999999996</v>
      </c>
      <c r="G30" s="813">
        <f t="shared" si="6"/>
        <v>5.22</v>
      </c>
      <c r="H30" s="813">
        <f t="shared" si="6"/>
        <v>6.38</v>
      </c>
      <c r="I30" s="813">
        <f t="shared" si="6"/>
        <v>7.5399999999999991</v>
      </c>
      <c r="J30" s="813">
        <f t="shared" si="6"/>
        <v>8.6999999999999993</v>
      </c>
      <c r="K30" s="813">
        <f t="shared" si="6"/>
        <v>9.86</v>
      </c>
      <c r="L30" s="813">
        <f t="shared" si="6"/>
        <v>11.02</v>
      </c>
      <c r="M30" s="813">
        <f t="shared" si="6"/>
        <v>12.18</v>
      </c>
      <c r="N30" s="813">
        <f t="shared" si="6"/>
        <v>13.34</v>
      </c>
      <c r="O30" s="813">
        <f t="shared" si="6"/>
        <v>14.499999999999998</v>
      </c>
      <c r="P30" s="813">
        <f t="shared" si="6"/>
        <v>15.659999999999998</v>
      </c>
      <c r="Q30" s="813">
        <f t="shared" si="6"/>
        <v>16.82</v>
      </c>
      <c r="R30" s="813">
        <f t="shared" si="6"/>
        <v>17.98</v>
      </c>
      <c r="S30" s="813">
        <f t="shared" si="6"/>
        <v>19.139999999999997</v>
      </c>
      <c r="T30" s="813">
        <f t="shared" si="6"/>
        <v>20.299999999999997</v>
      </c>
      <c r="U30" s="813">
        <f t="shared" si="6"/>
        <v>21.459999999999997</v>
      </c>
      <c r="V30" s="813">
        <f t="shared" si="6"/>
        <v>22.619999999999997</v>
      </c>
      <c r="W30" s="813">
        <f t="shared" si="6"/>
        <v>23.779999999999998</v>
      </c>
      <c r="Z30" s="812"/>
      <c r="AA30" s="545"/>
      <c r="AB30" s="813">
        <f>AB9*1.16</f>
        <v>0.57999999999999996</v>
      </c>
      <c r="AC30" s="813">
        <f t="shared" ref="AC30:AV30" si="7">AC9*1.16</f>
        <v>1.7399999999999998</v>
      </c>
      <c r="AD30" s="813">
        <f t="shared" si="7"/>
        <v>2.9</v>
      </c>
      <c r="AE30" s="813">
        <f t="shared" si="7"/>
        <v>4.0599999999999996</v>
      </c>
      <c r="AF30" s="813">
        <f t="shared" si="7"/>
        <v>5.22</v>
      </c>
      <c r="AG30" s="813">
        <f t="shared" si="7"/>
        <v>6.38</v>
      </c>
      <c r="AH30" s="813">
        <f t="shared" si="7"/>
        <v>7.5399999999999991</v>
      </c>
      <c r="AI30" s="813">
        <f t="shared" si="7"/>
        <v>8.6999999999999993</v>
      </c>
      <c r="AJ30" s="813">
        <f t="shared" si="7"/>
        <v>9.86</v>
      </c>
      <c r="AK30" s="813">
        <f t="shared" si="7"/>
        <v>11.02</v>
      </c>
      <c r="AL30" s="813">
        <f t="shared" si="7"/>
        <v>12.18</v>
      </c>
      <c r="AM30" s="813">
        <f t="shared" si="7"/>
        <v>13.34</v>
      </c>
      <c r="AN30" s="813">
        <f t="shared" si="7"/>
        <v>14.499999999999998</v>
      </c>
      <c r="AO30" s="813">
        <f t="shared" si="7"/>
        <v>15.659999999999998</v>
      </c>
      <c r="AP30" s="813">
        <f t="shared" si="7"/>
        <v>16.82</v>
      </c>
      <c r="AQ30" s="813">
        <f t="shared" si="7"/>
        <v>17.98</v>
      </c>
      <c r="AR30" s="813">
        <f t="shared" si="7"/>
        <v>19.139999999999997</v>
      </c>
      <c r="AS30" s="813">
        <f t="shared" si="7"/>
        <v>20.299999999999997</v>
      </c>
      <c r="AT30" s="813">
        <f t="shared" si="7"/>
        <v>21.459999999999997</v>
      </c>
      <c r="AU30" s="813">
        <f t="shared" si="7"/>
        <v>22.619999999999997</v>
      </c>
      <c r="AV30" s="813">
        <f t="shared" si="7"/>
        <v>23.779999999999998</v>
      </c>
    </row>
    <row r="31" spans="1:48" ht="15.75" customHeight="1" thickBot="1" x14ac:dyDescent="0.4">
      <c r="A31" s="812"/>
      <c r="B31" s="545"/>
      <c r="C31" s="893" t="s">
        <v>1375</v>
      </c>
      <c r="D31" s="894"/>
      <c r="E31" s="894"/>
      <c r="F31" s="894"/>
      <c r="G31" s="894"/>
      <c r="H31" s="894"/>
      <c r="I31" s="894"/>
      <c r="J31" s="894"/>
      <c r="K31" s="894"/>
      <c r="L31" s="894"/>
      <c r="M31" s="894"/>
      <c r="N31" s="894"/>
      <c r="O31" s="894"/>
      <c r="P31" s="894"/>
      <c r="Q31" s="894"/>
      <c r="R31" s="894"/>
      <c r="S31" s="894"/>
      <c r="T31" s="894"/>
      <c r="U31" s="894"/>
      <c r="V31" s="894"/>
      <c r="W31" s="895"/>
      <c r="Z31" s="812"/>
      <c r="AA31" s="545"/>
      <c r="AB31" s="893" t="s">
        <v>1375</v>
      </c>
      <c r="AC31" s="894"/>
      <c r="AD31" s="894"/>
      <c r="AE31" s="894"/>
      <c r="AF31" s="894"/>
      <c r="AG31" s="894"/>
      <c r="AH31" s="894"/>
      <c r="AI31" s="894"/>
      <c r="AJ31" s="894"/>
      <c r="AK31" s="894"/>
      <c r="AL31" s="894"/>
      <c r="AM31" s="894"/>
      <c r="AN31" s="894"/>
      <c r="AO31" s="894"/>
      <c r="AP31" s="894"/>
      <c r="AQ31" s="894"/>
      <c r="AR31" s="894"/>
      <c r="AS31" s="894"/>
      <c r="AT31" s="894"/>
      <c r="AU31" s="894"/>
      <c r="AV31" s="895"/>
    </row>
    <row r="32" spans="1:48" x14ac:dyDescent="0.35">
      <c r="A32" s="812"/>
      <c r="B32" s="545"/>
      <c r="C32" s="814"/>
      <c r="D32" s="814"/>
      <c r="E32" s="814"/>
      <c r="F32" s="814"/>
      <c r="G32" s="814"/>
      <c r="H32" s="814"/>
      <c r="I32" s="814"/>
      <c r="J32" s="814"/>
      <c r="K32" s="814"/>
      <c r="L32" s="814"/>
      <c r="M32" s="814"/>
      <c r="N32" s="814"/>
      <c r="O32" s="814"/>
      <c r="P32" s="814"/>
      <c r="Q32" s="814"/>
      <c r="R32" s="814"/>
      <c r="S32" s="814"/>
      <c r="T32" s="814"/>
      <c r="U32" s="814"/>
      <c r="V32" s="814"/>
      <c r="W32" s="814"/>
    </row>
    <row r="33" spans="1:23" x14ac:dyDescent="0.35">
      <c r="A33" s="812"/>
      <c r="B33" s="545"/>
      <c r="C33" s="814"/>
      <c r="D33" s="814"/>
      <c r="E33" s="814"/>
      <c r="F33" s="814"/>
      <c r="G33" s="814"/>
      <c r="H33" s="814"/>
      <c r="I33" s="814"/>
      <c r="J33" s="814"/>
      <c r="K33" s="814"/>
      <c r="L33" s="814"/>
      <c r="M33" s="814"/>
      <c r="N33" s="814"/>
      <c r="O33" s="814"/>
      <c r="P33" s="814"/>
      <c r="Q33" s="814"/>
      <c r="R33" s="814"/>
      <c r="S33" s="814"/>
      <c r="T33" s="814"/>
      <c r="U33" s="814"/>
      <c r="V33" s="814"/>
      <c r="W33" s="814"/>
    </row>
    <row r="34" spans="1:23" x14ac:dyDescent="0.35">
      <c r="A34" s="725" t="s">
        <v>1376</v>
      </c>
    </row>
    <row r="35" spans="1:23" ht="15.75" customHeight="1" thickBot="1" x14ac:dyDescent="0.4"/>
    <row r="36" spans="1:23" ht="15" thickBot="1" x14ac:dyDescent="0.4">
      <c r="A36" s="896"/>
      <c r="B36" s="897"/>
      <c r="C36" s="893" t="s">
        <v>1373</v>
      </c>
      <c r="D36" s="894"/>
      <c r="E36" s="894"/>
      <c r="F36" s="894"/>
      <c r="G36" s="894"/>
      <c r="H36" s="894"/>
      <c r="I36" s="894"/>
      <c r="J36" s="894"/>
      <c r="K36" s="894"/>
      <c r="L36" s="894"/>
      <c r="M36" s="894"/>
      <c r="N36" s="894"/>
      <c r="O36" s="894"/>
      <c r="P36" s="894"/>
      <c r="Q36" s="894"/>
      <c r="R36" s="894"/>
      <c r="S36" s="894"/>
      <c r="T36" s="894"/>
      <c r="U36" s="894"/>
      <c r="V36" s="894"/>
      <c r="W36" s="895"/>
    </row>
    <row r="37" spans="1:23" ht="15" thickBot="1" x14ac:dyDescent="0.4">
      <c r="A37" s="898"/>
      <c r="B37" s="899"/>
      <c r="C37" s="798">
        <v>0.5</v>
      </c>
      <c r="D37" s="799">
        <f>C37+1</f>
        <v>1.5</v>
      </c>
      <c r="E37" s="799">
        <f t="shared" ref="E37" si="8">D37+1</f>
        <v>2.5</v>
      </c>
      <c r="F37" s="799">
        <f>E37+1</f>
        <v>3.5</v>
      </c>
      <c r="G37" s="799">
        <f t="shared" ref="G37:W37" si="9">F37+1</f>
        <v>4.5</v>
      </c>
      <c r="H37" s="799">
        <f t="shared" si="9"/>
        <v>5.5</v>
      </c>
      <c r="I37" s="799">
        <f t="shared" si="9"/>
        <v>6.5</v>
      </c>
      <c r="J37" s="799">
        <f t="shared" si="9"/>
        <v>7.5</v>
      </c>
      <c r="K37" s="799">
        <f t="shared" si="9"/>
        <v>8.5</v>
      </c>
      <c r="L37" s="799">
        <f t="shared" si="9"/>
        <v>9.5</v>
      </c>
      <c r="M37" s="799">
        <f t="shared" si="9"/>
        <v>10.5</v>
      </c>
      <c r="N37" s="799">
        <f t="shared" si="9"/>
        <v>11.5</v>
      </c>
      <c r="O37" s="799">
        <f t="shared" si="9"/>
        <v>12.5</v>
      </c>
      <c r="P37" s="799">
        <f t="shared" si="9"/>
        <v>13.5</v>
      </c>
      <c r="Q37" s="799">
        <f t="shared" si="9"/>
        <v>14.5</v>
      </c>
      <c r="R37" s="799">
        <f t="shared" si="9"/>
        <v>15.5</v>
      </c>
      <c r="S37" s="799">
        <f t="shared" si="9"/>
        <v>16.5</v>
      </c>
      <c r="T37" s="799">
        <f t="shared" si="9"/>
        <v>17.5</v>
      </c>
      <c r="U37" s="799">
        <f t="shared" si="9"/>
        <v>18.5</v>
      </c>
      <c r="V37" s="799">
        <f t="shared" si="9"/>
        <v>19.5</v>
      </c>
      <c r="W37" s="800">
        <f t="shared" si="9"/>
        <v>20.5</v>
      </c>
    </row>
    <row r="38" spans="1:23" x14ac:dyDescent="0.35">
      <c r="A38" s="900" t="s">
        <v>1374</v>
      </c>
      <c r="B38" s="801">
        <v>0.25</v>
      </c>
      <c r="C38" s="802">
        <f>IF(C10&lt;$C$1,C10,$C$1)</f>
        <v>0</v>
      </c>
      <c r="D38" s="803">
        <f t="shared" ref="D38:W38" si="10">IF(D10&lt;$C$1,D10,$C$1)</f>
        <v>0</v>
      </c>
      <c r="E38" s="803">
        <f t="shared" si="10"/>
        <v>0</v>
      </c>
      <c r="F38" s="803">
        <f t="shared" si="10"/>
        <v>0</v>
      </c>
      <c r="G38" s="803">
        <f t="shared" si="10"/>
        <v>0</v>
      </c>
      <c r="H38" s="803">
        <f t="shared" si="10"/>
        <v>0</v>
      </c>
      <c r="I38" s="803">
        <f t="shared" si="10"/>
        <v>0</v>
      </c>
      <c r="J38" s="803">
        <f t="shared" si="10"/>
        <v>7.4207470345290298</v>
      </c>
      <c r="K38" s="803">
        <f t="shared" si="10"/>
        <v>10.904040497108801</v>
      </c>
      <c r="L38" s="803">
        <f t="shared" si="10"/>
        <v>0</v>
      </c>
      <c r="M38" s="803">
        <f t="shared" si="10"/>
        <v>0</v>
      </c>
      <c r="N38" s="803">
        <f t="shared" si="10"/>
        <v>0</v>
      </c>
      <c r="O38" s="803">
        <f t="shared" si="10"/>
        <v>0</v>
      </c>
      <c r="P38" s="803">
        <f t="shared" si="10"/>
        <v>0</v>
      </c>
      <c r="Q38" s="803">
        <f t="shared" si="10"/>
        <v>0</v>
      </c>
      <c r="R38" s="803">
        <f t="shared" si="10"/>
        <v>0</v>
      </c>
      <c r="S38" s="803">
        <f t="shared" si="10"/>
        <v>0</v>
      </c>
      <c r="T38" s="803">
        <f t="shared" si="10"/>
        <v>0</v>
      </c>
      <c r="U38" s="803">
        <f t="shared" si="10"/>
        <v>0</v>
      </c>
      <c r="V38" s="803">
        <f t="shared" si="10"/>
        <v>0</v>
      </c>
      <c r="W38" s="804">
        <f t="shared" si="10"/>
        <v>0</v>
      </c>
    </row>
    <row r="39" spans="1:23" x14ac:dyDescent="0.35">
      <c r="A39" s="901"/>
      <c r="B39" s="805">
        <f>B38+0.5</f>
        <v>0.75</v>
      </c>
      <c r="C39" s="806">
        <f t="shared" ref="C39:W51" si="11">IF(C11&lt;$C$1,C11,$C$1)</f>
        <v>0</v>
      </c>
      <c r="D39" s="73">
        <f t="shared" si="11"/>
        <v>0</v>
      </c>
      <c r="E39" s="73">
        <f t="shared" si="11"/>
        <v>0</v>
      </c>
      <c r="F39" s="73">
        <f t="shared" si="11"/>
        <v>0</v>
      </c>
      <c r="G39" s="73">
        <f t="shared" si="11"/>
        <v>5.35584565355013</v>
      </c>
      <c r="H39" s="73">
        <f t="shared" si="11"/>
        <v>13.263834704708</v>
      </c>
      <c r="I39" s="73">
        <f t="shared" si="11"/>
        <v>26.5002185080379</v>
      </c>
      <c r="J39" s="73">
        <f t="shared" si="11"/>
        <v>36.519952847835803</v>
      </c>
      <c r="K39" s="73">
        <f t="shared" si="11"/>
        <v>41.581187349435503</v>
      </c>
      <c r="L39" s="73">
        <f t="shared" si="11"/>
        <v>43.929390965869402</v>
      </c>
      <c r="M39" s="73">
        <f t="shared" si="11"/>
        <v>45.019172474937299</v>
      </c>
      <c r="N39" s="73">
        <f t="shared" si="11"/>
        <v>45.250974596104598</v>
      </c>
      <c r="O39" s="73">
        <f t="shared" si="11"/>
        <v>45.145295905468103</v>
      </c>
      <c r="P39" s="73">
        <f t="shared" si="11"/>
        <v>0</v>
      </c>
      <c r="Q39" s="73">
        <f t="shared" si="11"/>
        <v>0</v>
      </c>
      <c r="R39" s="73">
        <f t="shared" si="11"/>
        <v>0</v>
      </c>
      <c r="S39" s="73">
        <f t="shared" si="11"/>
        <v>0</v>
      </c>
      <c r="T39" s="73">
        <f t="shared" si="11"/>
        <v>0</v>
      </c>
      <c r="U39" s="73">
        <f t="shared" si="11"/>
        <v>0</v>
      </c>
      <c r="V39" s="73">
        <f t="shared" si="11"/>
        <v>0</v>
      </c>
      <c r="W39" s="807">
        <f t="shared" si="11"/>
        <v>0</v>
      </c>
    </row>
    <row r="40" spans="1:23" x14ac:dyDescent="0.35">
      <c r="A40" s="901"/>
      <c r="B40" s="805">
        <f t="shared" ref="B40:B57" si="12">B39+0.5</f>
        <v>1.25</v>
      </c>
      <c r="C40" s="806">
        <f t="shared" si="11"/>
        <v>0</v>
      </c>
      <c r="D40" s="73">
        <f t="shared" si="11"/>
        <v>0</v>
      </c>
      <c r="E40" s="73">
        <f t="shared" si="11"/>
        <v>0</v>
      </c>
      <c r="F40" s="73">
        <f t="shared" si="11"/>
        <v>0</v>
      </c>
      <c r="G40" s="73">
        <f t="shared" si="11"/>
        <v>15.752095674966601</v>
      </c>
      <c r="H40" s="73">
        <f t="shared" si="11"/>
        <v>37.289260041215698</v>
      </c>
      <c r="I40" s="73">
        <f t="shared" si="11"/>
        <v>56.440453929142599</v>
      </c>
      <c r="J40" s="73">
        <f t="shared" si="11"/>
        <v>68.683936877346198</v>
      </c>
      <c r="K40" s="73">
        <f t="shared" si="11"/>
        <v>75.292878384978707</v>
      </c>
      <c r="L40" s="73">
        <f t="shared" si="11"/>
        <v>77.768388020280895</v>
      </c>
      <c r="M40" s="73">
        <f t="shared" si="11"/>
        <v>79.112736567912805</v>
      </c>
      <c r="N40" s="73">
        <f t="shared" si="11"/>
        <v>78.668780499058997</v>
      </c>
      <c r="O40" s="73">
        <f t="shared" si="11"/>
        <v>77.913843462384506</v>
      </c>
      <c r="P40" s="73">
        <f t="shared" si="11"/>
        <v>77.181208147020598</v>
      </c>
      <c r="Q40" s="73">
        <f t="shared" si="11"/>
        <v>76.157557956511496</v>
      </c>
      <c r="R40" s="73">
        <f t="shared" si="11"/>
        <v>73.878807734794194</v>
      </c>
      <c r="S40" s="73">
        <f t="shared" si="11"/>
        <v>0</v>
      </c>
      <c r="T40" s="73">
        <f t="shared" si="11"/>
        <v>0</v>
      </c>
      <c r="U40" s="73">
        <f t="shared" si="11"/>
        <v>0</v>
      </c>
      <c r="V40" s="73">
        <f t="shared" si="11"/>
        <v>0</v>
      </c>
      <c r="W40" s="807">
        <f t="shared" si="11"/>
        <v>0</v>
      </c>
    </row>
    <row r="41" spans="1:23" x14ac:dyDescent="0.35">
      <c r="A41" s="901"/>
      <c r="B41" s="805">
        <f t="shared" si="12"/>
        <v>1.75</v>
      </c>
      <c r="C41" s="806">
        <f t="shared" si="11"/>
        <v>0</v>
      </c>
      <c r="D41" s="73">
        <f t="shared" si="11"/>
        <v>0</v>
      </c>
      <c r="E41" s="73">
        <f t="shared" si="11"/>
        <v>0</v>
      </c>
      <c r="F41" s="73">
        <f t="shared" si="11"/>
        <v>0</v>
      </c>
      <c r="G41" s="73">
        <f t="shared" si="11"/>
        <v>0</v>
      </c>
      <c r="H41" s="73">
        <f t="shared" si="11"/>
        <v>63.695724288613</v>
      </c>
      <c r="I41" s="73">
        <f t="shared" si="11"/>
        <v>88.819857041531904</v>
      </c>
      <c r="J41" s="73">
        <f t="shared" si="11"/>
        <v>102.659188048084</v>
      </c>
      <c r="K41" s="73">
        <f t="shared" si="11"/>
        <v>110.311304413729</v>
      </c>
      <c r="L41" s="73">
        <f t="shared" si="11"/>
        <v>112.718856635976</v>
      </c>
      <c r="M41" s="73">
        <f t="shared" si="11"/>
        <v>114.204839466397</v>
      </c>
      <c r="N41" s="73">
        <f t="shared" si="11"/>
        <v>113.219428480999</v>
      </c>
      <c r="O41" s="73">
        <f t="shared" si="11"/>
        <v>111.619816566967</v>
      </c>
      <c r="P41" s="73">
        <f t="shared" si="11"/>
        <v>110.192821523438</v>
      </c>
      <c r="Q41" s="73">
        <f t="shared" si="11"/>
        <v>108.332575421816</v>
      </c>
      <c r="R41" s="73">
        <f t="shared" si="11"/>
        <v>104.876641924244</v>
      </c>
      <c r="S41" s="73">
        <f t="shared" si="11"/>
        <v>0</v>
      </c>
      <c r="T41" s="73">
        <f t="shared" si="11"/>
        <v>0</v>
      </c>
      <c r="U41" s="73">
        <f t="shared" si="11"/>
        <v>0</v>
      </c>
      <c r="V41" s="73">
        <f t="shared" si="11"/>
        <v>0</v>
      </c>
      <c r="W41" s="807">
        <f t="shared" si="11"/>
        <v>0</v>
      </c>
    </row>
    <row r="42" spans="1:23" x14ac:dyDescent="0.35">
      <c r="A42" s="901"/>
      <c r="B42" s="805">
        <f t="shared" si="12"/>
        <v>2.25</v>
      </c>
      <c r="C42" s="806">
        <f t="shared" si="11"/>
        <v>0</v>
      </c>
      <c r="D42" s="73">
        <f t="shared" si="11"/>
        <v>0</v>
      </c>
      <c r="E42" s="73">
        <f t="shared" si="11"/>
        <v>0</v>
      </c>
      <c r="F42" s="73">
        <f t="shared" si="11"/>
        <v>0</v>
      </c>
      <c r="G42" s="73">
        <f t="shared" si="11"/>
        <v>0</v>
      </c>
      <c r="H42" s="73">
        <f t="shared" si="11"/>
        <v>0</v>
      </c>
      <c r="I42" s="73">
        <f t="shared" si="11"/>
        <v>122.04986524599801</v>
      </c>
      <c r="J42" s="73">
        <f t="shared" si="11"/>
        <v>137.94018607622399</v>
      </c>
      <c r="K42" s="73">
        <f t="shared" si="11"/>
        <v>146.13523603186499</v>
      </c>
      <c r="L42" s="73">
        <f t="shared" si="11"/>
        <v>148.332585950301</v>
      </c>
      <c r="M42" s="73">
        <f t="shared" si="11"/>
        <v>149.89928138409499</v>
      </c>
      <c r="N42" s="73">
        <f t="shared" si="11"/>
        <v>148.41485291184901</v>
      </c>
      <c r="O42" s="73">
        <f t="shared" si="11"/>
        <v>145.83559340007801</v>
      </c>
      <c r="P42" s="73">
        <f t="shared" si="11"/>
        <v>143.625354955418</v>
      </c>
      <c r="Q42" s="73">
        <f t="shared" si="11"/>
        <v>141.02366037303301</v>
      </c>
      <c r="R42" s="73">
        <f t="shared" si="11"/>
        <v>136.33108731326701</v>
      </c>
      <c r="S42" s="73">
        <f t="shared" si="11"/>
        <v>131.719052921215</v>
      </c>
      <c r="T42" s="73">
        <f t="shared" si="11"/>
        <v>0</v>
      </c>
      <c r="U42" s="73">
        <f t="shared" si="11"/>
        <v>0</v>
      </c>
      <c r="V42" s="73">
        <f t="shared" si="11"/>
        <v>0</v>
      </c>
      <c r="W42" s="807">
        <f t="shared" si="11"/>
        <v>0</v>
      </c>
    </row>
    <row r="43" spans="1:23" x14ac:dyDescent="0.35">
      <c r="A43" s="901"/>
      <c r="B43" s="805">
        <f t="shared" si="12"/>
        <v>2.75</v>
      </c>
      <c r="C43" s="806">
        <f t="shared" si="11"/>
        <v>0</v>
      </c>
      <c r="D43" s="73">
        <f t="shared" si="11"/>
        <v>0</v>
      </c>
      <c r="E43" s="73">
        <f t="shared" si="11"/>
        <v>0</v>
      </c>
      <c r="F43" s="73">
        <f t="shared" si="11"/>
        <v>0</v>
      </c>
      <c r="G43" s="73">
        <f t="shared" si="11"/>
        <v>0</v>
      </c>
      <c r="H43" s="73">
        <f t="shared" si="11"/>
        <v>0</v>
      </c>
      <c r="I43" s="73">
        <f t="shared" si="11"/>
        <v>155.97103727529901</v>
      </c>
      <c r="J43" s="73">
        <f t="shared" si="11"/>
        <v>174.16957154977399</v>
      </c>
      <c r="K43" s="73">
        <f t="shared" si="11"/>
        <v>182.53426156520499</v>
      </c>
      <c r="L43" s="73">
        <f t="shared" si="11"/>
        <v>184.43001981179901</v>
      </c>
      <c r="M43" s="73">
        <f t="shared" si="11"/>
        <v>185.99725258376199</v>
      </c>
      <c r="N43" s="73">
        <f t="shared" si="11"/>
        <v>184.01008072801901</v>
      </c>
      <c r="O43" s="73">
        <f t="shared" si="11"/>
        <v>180.45364133058899</v>
      </c>
      <c r="P43" s="73">
        <f t="shared" si="11"/>
        <v>177.381884848449</v>
      </c>
      <c r="Q43" s="73">
        <f t="shared" si="11"/>
        <v>173.99083731369899</v>
      </c>
      <c r="R43" s="73">
        <f t="shared" si="11"/>
        <v>168.11126492909801</v>
      </c>
      <c r="S43" s="73">
        <f t="shared" si="11"/>
        <v>162.32793412095401</v>
      </c>
      <c r="T43" s="73">
        <f t="shared" si="11"/>
        <v>0</v>
      </c>
      <c r="U43" s="73">
        <f t="shared" si="11"/>
        <v>0</v>
      </c>
      <c r="V43" s="73">
        <f t="shared" si="11"/>
        <v>0</v>
      </c>
      <c r="W43" s="807">
        <f t="shared" si="11"/>
        <v>0</v>
      </c>
    </row>
    <row r="44" spans="1:23" x14ac:dyDescent="0.35">
      <c r="A44" s="901"/>
      <c r="B44" s="805">
        <f t="shared" si="12"/>
        <v>3.25</v>
      </c>
      <c r="C44" s="806">
        <f t="shared" si="11"/>
        <v>0</v>
      </c>
      <c r="D44" s="73">
        <f t="shared" si="11"/>
        <v>0</v>
      </c>
      <c r="E44" s="73">
        <f t="shared" si="11"/>
        <v>0</v>
      </c>
      <c r="F44" s="73">
        <f t="shared" si="11"/>
        <v>0</v>
      </c>
      <c r="G44" s="73">
        <f t="shared" si="11"/>
        <v>0</v>
      </c>
      <c r="H44" s="73">
        <f t="shared" si="11"/>
        <v>0</v>
      </c>
      <c r="I44" s="73">
        <f t="shared" si="11"/>
        <v>0</v>
      </c>
      <c r="J44" s="73">
        <f t="shared" si="11"/>
        <v>210.98675089586601</v>
      </c>
      <c r="K44" s="73">
        <f t="shared" si="11"/>
        <v>219.39457356310399</v>
      </c>
      <c r="L44" s="73">
        <f t="shared" si="11"/>
        <v>220.891823623454</v>
      </c>
      <c r="M44" s="73">
        <f t="shared" si="11"/>
        <v>222.40217915528299</v>
      </c>
      <c r="N44" s="73">
        <f t="shared" si="11"/>
        <v>219.89322265069501</v>
      </c>
      <c r="O44" s="73">
        <f t="shared" si="11"/>
        <v>215.387644599319</v>
      </c>
      <c r="P44" s="73">
        <f t="shared" si="11"/>
        <v>211.387608557991</v>
      </c>
      <c r="Q44" s="73">
        <f t="shared" si="11"/>
        <v>207.155153489079</v>
      </c>
      <c r="R44" s="73">
        <f t="shared" si="11"/>
        <v>200.174215777146</v>
      </c>
      <c r="S44" s="73">
        <f t="shared" si="11"/>
        <v>193.16938232572599</v>
      </c>
      <c r="T44" s="73">
        <f t="shared" si="11"/>
        <v>185.35223625616999</v>
      </c>
      <c r="U44" s="73">
        <f t="shared" si="11"/>
        <v>178.12199387370899</v>
      </c>
      <c r="V44" s="73">
        <f t="shared" si="11"/>
        <v>0</v>
      </c>
      <c r="W44" s="807">
        <f t="shared" si="11"/>
        <v>0</v>
      </c>
    </row>
    <row r="45" spans="1:23" x14ac:dyDescent="0.35">
      <c r="A45" s="901"/>
      <c r="B45" s="805">
        <f t="shared" si="12"/>
        <v>3.75</v>
      </c>
      <c r="C45" s="806">
        <f t="shared" si="11"/>
        <v>0</v>
      </c>
      <c r="D45" s="73">
        <f t="shared" si="11"/>
        <v>0</v>
      </c>
      <c r="E45" s="73">
        <f t="shared" si="11"/>
        <v>0</v>
      </c>
      <c r="F45" s="73">
        <f t="shared" si="11"/>
        <v>0</v>
      </c>
      <c r="G45" s="73">
        <f t="shared" si="11"/>
        <v>0</v>
      </c>
      <c r="H45" s="73">
        <f t="shared" si="11"/>
        <v>0</v>
      </c>
      <c r="I45" s="73">
        <f t="shared" si="11"/>
        <v>0</v>
      </c>
      <c r="J45" s="73">
        <f t="shared" si="11"/>
        <v>248.286560893635</v>
      </c>
      <c r="K45" s="73">
        <f t="shared" si="11"/>
        <v>256.63969057462799</v>
      </c>
      <c r="L45" s="73">
        <f t="shared" si="11"/>
        <v>257.636941101378</v>
      </c>
      <c r="M45" s="73">
        <f t="shared" si="11"/>
        <v>259.04335997574702</v>
      </c>
      <c r="N45" s="73">
        <f t="shared" si="11"/>
        <v>256.00237417977399</v>
      </c>
      <c r="O45" s="73">
        <f t="shared" si="11"/>
        <v>250.57153670436401</v>
      </c>
      <c r="P45" s="73">
        <f t="shared" si="11"/>
        <v>245.59438947800101</v>
      </c>
      <c r="Q45" s="73">
        <f t="shared" si="11"/>
        <v>240.48011084274199</v>
      </c>
      <c r="R45" s="73">
        <f t="shared" si="11"/>
        <v>232.41007795444901</v>
      </c>
      <c r="S45" s="73">
        <f t="shared" si="11"/>
        <v>224.20713688747699</v>
      </c>
      <c r="T45" s="73">
        <f t="shared" si="11"/>
        <v>0</v>
      </c>
      <c r="U45" s="73">
        <f t="shared" si="11"/>
        <v>0</v>
      </c>
      <c r="V45" s="73">
        <f t="shared" si="11"/>
        <v>0</v>
      </c>
      <c r="W45" s="807">
        <f t="shared" si="11"/>
        <v>0</v>
      </c>
    </row>
    <row r="46" spans="1:23" x14ac:dyDescent="0.35">
      <c r="A46" s="901"/>
      <c r="B46" s="805">
        <f t="shared" si="12"/>
        <v>4.25</v>
      </c>
      <c r="C46" s="806">
        <f t="shared" si="11"/>
        <v>0</v>
      </c>
      <c r="D46" s="73">
        <f t="shared" si="11"/>
        <v>0</v>
      </c>
      <c r="E46" s="73">
        <f t="shared" si="11"/>
        <v>0</v>
      </c>
      <c r="F46" s="73">
        <f t="shared" si="11"/>
        <v>0</v>
      </c>
      <c r="G46" s="73">
        <f t="shared" si="11"/>
        <v>0</v>
      </c>
      <c r="H46" s="73">
        <f t="shared" si="11"/>
        <v>0</v>
      </c>
      <c r="I46" s="73">
        <f t="shared" si="11"/>
        <v>0</v>
      </c>
      <c r="J46" s="73">
        <f t="shared" si="11"/>
        <v>0</v>
      </c>
      <c r="K46" s="73">
        <f t="shared" si="11"/>
        <v>294.18347491411402</v>
      </c>
      <c r="L46" s="73">
        <f t="shared" si="11"/>
        <v>294.61594513901701</v>
      </c>
      <c r="M46" s="73">
        <f t="shared" si="11"/>
        <v>295.87598600911502</v>
      </c>
      <c r="N46" s="73">
        <f t="shared" si="11"/>
        <v>292.30403134425001</v>
      </c>
      <c r="O46" s="73">
        <f t="shared" si="11"/>
        <v>285.97623566697501</v>
      </c>
      <c r="P46" s="73">
        <f t="shared" si="11"/>
        <v>279.96499360828699</v>
      </c>
      <c r="Q46" s="73">
        <f t="shared" si="11"/>
        <v>273.93470036150802</v>
      </c>
      <c r="R46" s="73">
        <f t="shared" si="11"/>
        <v>264.76092038279302</v>
      </c>
      <c r="S46" s="73">
        <f t="shared" si="11"/>
        <v>255.41622186558101</v>
      </c>
      <c r="T46" s="73">
        <f t="shared" si="11"/>
        <v>0</v>
      </c>
      <c r="U46" s="73">
        <f t="shared" si="11"/>
        <v>0</v>
      </c>
      <c r="V46" s="73">
        <f t="shared" si="11"/>
        <v>0</v>
      </c>
      <c r="W46" s="807">
        <f t="shared" si="11"/>
        <v>0</v>
      </c>
    </row>
    <row r="47" spans="1:23" x14ac:dyDescent="0.35">
      <c r="A47" s="901"/>
      <c r="B47" s="805">
        <f t="shared" si="12"/>
        <v>4.75</v>
      </c>
      <c r="C47" s="806">
        <f t="shared" si="11"/>
        <v>0</v>
      </c>
      <c r="D47" s="73">
        <f t="shared" si="11"/>
        <v>0</v>
      </c>
      <c r="E47" s="73">
        <f t="shared" si="11"/>
        <v>0</v>
      </c>
      <c r="F47" s="73">
        <f t="shared" si="11"/>
        <v>0</v>
      </c>
      <c r="G47" s="73">
        <f t="shared" si="11"/>
        <v>0</v>
      </c>
      <c r="H47" s="73">
        <f t="shared" si="11"/>
        <v>0</v>
      </c>
      <c r="I47" s="73">
        <f t="shared" si="11"/>
        <v>0</v>
      </c>
      <c r="J47" s="73">
        <f t="shared" si="11"/>
        <v>0</v>
      </c>
      <c r="K47" s="73">
        <f t="shared" si="11"/>
        <v>331.981768348689</v>
      </c>
      <c r="L47" s="73">
        <f t="shared" si="11"/>
        <v>331.79332658819402</v>
      </c>
      <c r="M47" s="73">
        <f t="shared" si="11"/>
        <v>332.87053017221001</v>
      </c>
      <c r="N47" s="73">
        <f t="shared" si="11"/>
        <v>328.75903772297602</v>
      </c>
      <c r="O47" s="73">
        <f t="shared" si="11"/>
        <v>321.57541691151999</v>
      </c>
      <c r="P47" s="73">
        <f t="shared" si="11"/>
        <v>314.49237362492698</v>
      </c>
      <c r="Q47" s="73">
        <f t="shared" si="11"/>
        <v>307.49497976137002</v>
      </c>
      <c r="R47" s="73">
        <f t="shared" si="11"/>
        <v>297.22163017767798</v>
      </c>
      <c r="S47" s="73">
        <f t="shared" si="11"/>
        <v>286.77609172992999</v>
      </c>
      <c r="T47" s="73">
        <f t="shared" si="11"/>
        <v>0</v>
      </c>
      <c r="U47" s="73">
        <f t="shared" si="11"/>
        <v>0</v>
      </c>
      <c r="V47" s="73">
        <f t="shared" si="11"/>
        <v>0</v>
      </c>
      <c r="W47" s="807">
        <f t="shared" si="11"/>
        <v>0</v>
      </c>
    </row>
    <row r="48" spans="1:23" x14ac:dyDescent="0.35">
      <c r="A48" s="901"/>
      <c r="B48" s="805">
        <f t="shared" si="12"/>
        <v>5.25</v>
      </c>
      <c r="C48" s="806">
        <f t="shared" si="11"/>
        <v>0</v>
      </c>
      <c r="D48" s="73">
        <f t="shared" si="11"/>
        <v>0</v>
      </c>
      <c r="E48" s="73">
        <f t="shared" si="11"/>
        <v>0</v>
      </c>
      <c r="F48" s="73">
        <f t="shared" si="11"/>
        <v>0</v>
      </c>
      <c r="G48" s="73">
        <f t="shared" si="11"/>
        <v>0</v>
      </c>
      <c r="H48" s="73">
        <f t="shared" si="11"/>
        <v>0</v>
      </c>
      <c r="I48" s="73">
        <f t="shared" si="11"/>
        <v>0</v>
      </c>
      <c r="J48" s="73">
        <f t="shared" si="11"/>
        <v>0</v>
      </c>
      <c r="K48" s="73">
        <f t="shared" si="11"/>
        <v>0</v>
      </c>
      <c r="L48" s="73">
        <f t="shared" si="11"/>
        <v>369.14479788180103</v>
      </c>
      <c r="M48" s="73">
        <f t="shared" si="11"/>
        <v>370.000125893985</v>
      </c>
      <c r="N48" s="73">
        <f t="shared" si="11"/>
        <v>365.342188960138</v>
      </c>
      <c r="O48" s="73">
        <f t="shared" si="11"/>
        <v>357.345726875183</v>
      </c>
      <c r="P48" s="73">
        <f t="shared" si="11"/>
        <v>349.171609108388</v>
      </c>
      <c r="Q48" s="73">
        <f t="shared" si="11"/>
        <v>341.14287721125999</v>
      </c>
      <c r="R48" s="73">
        <f t="shared" si="11"/>
        <v>329.76974645257297</v>
      </c>
      <c r="S48" s="73">
        <f t="shared" si="11"/>
        <v>0</v>
      </c>
      <c r="T48" s="73">
        <f t="shared" si="11"/>
        <v>0</v>
      </c>
      <c r="U48" s="73">
        <f t="shared" si="11"/>
        <v>0</v>
      </c>
      <c r="V48" s="73">
        <f t="shared" si="11"/>
        <v>0</v>
      </c>
      <c r="W48" s="807">
        <f t="shared" si="11"/>
        <v>0</v>
      </c>
    </row>
    <row r="49" spans="1:23" x14ac:dyDescent="0.35">
      <c r="A49" s="901"/>
      <c r="B49" s="805">
        <f t="shared" si="12"/>
        <v>5.75</v>
      </c>
      <c r="C49" s="806">
        <f t="shared" si="11"/>
        <v>0</v>
      </c>
      <c r="D49" s="73">
        <f t="shared" si="11"/>
        <v>0</v>
      </c>
      <c r="E49" s="73">
        <f t="shared" si="11"/>
        <v>0</v>
      </c>
      <c r="F49" s="73">
        <f t="shared" si="11"/>
        <v>0</v>
      </c>
      <c r="G49" s="73">
        <f t="shared" si="11"/>
        <v>0</v>
      </c>
      <c r="H49" s="73">
        <f t="shared" si="11"/>
        <v>0</v>
      </c>
      <c r="I49" s="73">
        <f t="shared" si="11"/>
        <v>0</v>
      </c>
      <c r="J49" s="73">
        <f t="shared" si="11"/>
        <v>0</v>
      </c>
      <c r="K49" s="73">
        <f t="shared" si="11"/>
        <v>0</v>
      </c>
      <c r="L49" s="73">
        <f t="shared" si="11"/>
        <v>0</v>
      </c>
      <c r="M49" s="73">
        <f t="shared" si="11"/>
        <v>0</v>
      </c>
      <c r="N49" s="73">
        <f t="shared" si="11"/>
        <v>402.03336052922702</v>
      </c>
      <c r="O49" s="73">
        <f t="shared" si="11"/>
        <v>393.24047354281902</v>
      </c>
      <c r="P49" s="73">
        <f t="shared" si="11"/>
        <v>383.93661794495301</v>
      </c>
      <c r="Q49" s="73">
        <f t="shared" si="11"/>
        <v>374.86865180055901</v>
      </c>
      <c r="R49" s="73">
        <f t="shared" si="11"/>
        <v>362.38811802543398</v>
      </c>
      <c r="S49" s="73">
        <f t="shared" si="11"/>
        <v>0</v>
      </c>
      <c r="T49" s="73">
        <f t="shared" si="11"/>
        <v>0</v>
      </c>
      <c r="U49" s="73">
        <f t="shared" si="11"/>
        <v>0</v>
      </c>
      <c r="V49" s="73">
        <f t="shared" si="11"/>
        <v>0</v>
      </c>
      <c r="W49" s="807">
        <f t="shared" si="11"/>
        <v>0</v>
      </c>
    </row>
    <row r="50" spans="1:23" x14ac:dyDescent="0.35">
      <c r="A50" s="901"/>
      <c r="B50" s="805">
        <f t="shared" si="12"/>
        <v>6.25</v>
      </c>
      <c r="C50" s="806">
        <f t="shared" si="11"/>
        <v>0</v>
      </c>
      <c r="D50" s="73">
        <f t="shared" si="11"/>
        <v>0</v>
      </c>
      <c r="E50" s="73">
        <f t="shared" si="11"/>
        <v>0</v>
      </c>
      <c r="F50" s="73">
        <f t="shared" si="11"/>
        <v>0</v>
      </c>
      <c r="G50" s="73">
        <f t="shared" si="11"/>
        <v>0</v>
      </c>
      <c r="H50" s="73">
        <f t="shared" si="11"/>
        <v>0</v>
      </c>
      <c r="I50" s="73">
        <f t="shared" si="11"/>
        <v>0</v>
      </c>
      <c r="J50" s="73">
        <f t="shared" si="11"/>
        <v>0</v>
      </c>
      <c r="K50" s="73">
        <f t="shared" si="11"/>
        <v>0</v>
      </c>
      <c r="L50" s="73">
        <f t="shared" si="11"/>
        <v>0</v>
      </c>
      <c r="M50" s="73">
        <f t="shared" si="11"/>
        <v>0</v>
      </c>
      <c r="N50" s="73">
        <f t="shared" si="11"/>
        <v>0</v>
      </c>
      <c r="O50" s="73">
        <f>IF(O22&lt;$C$1,O22,$C$1)</f>
        <v>429.22295884441098</v>
      </c>
      <c r="P50" s="73">
        <f t="shared" si="11"/>
        <v>418.788107599895</v>
      </c>
      <c r="Q50" s="73">
        <f t="shared" si="11"/>
        <v>408.67032532200398</v>
      </c>
      <c r="R50" s="73">
        <f t="shared" si="11"/>
        <v>395.06902817434502</v>
      </c>
      <c r="S50" s="73">
        <f t="shared" si="11"/>
        <v>0</v>
      </c>
      <c r="T50" s="73">
        <f t="shared" si="11"/>
        <v>0</v>
      </c>
      <c r="U50" s="73">
        <f t="shared" si="11"/>
        <v>0</v>
      </c>
      <c r="V50" s="73">
        <f t="shared" si="11"/>
        <v>0</v>
      </c>
      <c r="W50" s="807">
        <f t="shared" si="11"/>
        <v>0</v>
      </c>
    </row>
    <row r="51" spans="1:23" x14ac:dyDescent="0.35">
      <c r="A51" s="901"/>
      <c r="B51" s="805">
        <f t="shared" si="12"/>
        <v>6.75</v>
      </c>
      <c r="C51" s="806">
        <f t="shared" si="11"/>
        <v>0</v>
      </c>
      <c r="D51" s="73">
        <f t="shared" si="11"/>
        <v>0</v>
      </c>
      <c r="E51" s="73">
        <f t="shared" si="11"/>
        <v>0</v>
      </c>
      <c r="F51" s="73">
        <f t="shared" ref="F51:W51" si="13">IF(F23&lt;$C$1,F23,$C$1)</f>
        <v>0</v>
      </c>
      <c r="G51" s="73">
        <f t="shared" si="13"/>
        <v>0</v>
      </c>
      <c r="H51" s="73">
        <f t="shared" si="13"/>
        <v>0</v>
      </c>
      <c r="I51" s="73">
        <f t="shared" si="13"/>
        <v>0</v>
      </c>
      <c r="J51" s="73">
        <f t="shared" si="13"/>
        <v>0</v>
      </c>
      <c r="K51" s="73">
        <f t="shared" si="13"/>
        <v>0</v>
      </c>
      <c r="L51" s="73">
        <f t="shared" si="13"/>
        <v>0</v>
      </c>
      <c r="M51" s="73">
        <f t="shared" si="13"/>
        <v>0</v>
      </c>
      <c r="N51" s="73">
        <f t="shared" si="13"/>
        <v>0</v>
      </c>
      <c r="O51" s="73">
        <f t="shared" si="13"/>
        <v>0</v>
      </c>
      <c r="P51" s="73">
        <f t="shared" si="13"/>
        <v>449.15588459470348</v>
      </c>
      <c r="Q51" s="73">
        <f t="shared" si="13"/>
        <v>442.53149460056102</v>
      </c>
      <c r="R51" s="73">
        <f t="shared" si="13"/>
        <v>0</v>
      </c>
      <c r="S51" s="73">
        <f t="shared" si="13"/>
        <v>0</v>
      </c>
      <c r="T51" s="73">
        <f t="shared" si="13"/>
        <v>0</v>
      </c>
      <c r="U51" s="73">
        <f t="shared" si="13"/>
        <v>0</v>
      </c>
      <c r="V51" s="73">
        <f t="shared" si="13"/>
        <v>0</v>
      </c>
      <c r="W51" s="807">
        <f t="shared" si="13"/>
        <v>0</v>
      </c>
    </row>
    <row r="52" spans="1:23" x14ac:dyDescent="0.35">
      <c r="A52" s="901"/>
      <c r="B52" s="805">
        <f t="shared" si="12"/>
        <v>7.25</v>
      </c>
      <c r="C52" s="806">
        <f t="shared" ref="C52:W57" si="14">IF(C24&lt;$C$1,C24,$C$1)</f>
        <v>0</v>
      </c>
      <c r="D52" s="73">
        <f t="shared" si="14"/>
        <v>0</v>
      </c>
      <c r="E52" s="73">
        <f t="shared" si="14"/>
        <v>0</v>
      </c>
      <c r="F52" s="73">
        <f t="shared" si="14"/>
        <v>0</v>
      </c>
      <c r="G52" s="73">
        <f t="shared" si="14"/>
        <v>0</v>
      </c>
      <c r="H52" s="73">
        <f t="shared" si="14"/>
        <v>0</v>
      </c>
      <c r="I52" s="73">
        <f t="shared" si="14"/>
        <v>0</v>
      </c>
      <c r="J52" s="73">
        <f t="shared" si="14"/>
        <v>0</v>
      </c>
      <c r="K52" s="73">
        <f t="shared" si="14"/>
        <v>0</v>
      </c>
      <c r="L52" s="73">
        <f t="shared" si="14"/>
        <v>0</v>
      </c>
      <c r="M52" s="73">
        <f t="shared" si="14"/>
        <v>0</v>
      </c>
      <c r="N52" s="73">
        <f t="shared" si="14"/>
        <v>0</v>
      </c>
      <c r="O52" s="73">
        <f t="shared" si="14"/>
        <v>0</v>
      </c>
      <c r="P52" s="73">
        <f t="shared" si="14"/>
        <v>0</v>
      </c>
      <c r="Q52" s="73">
        <f t="shared" si="14"/>
        <v>0</v>
      </c>
      <c r="R52" s="73">
        <f t="shared" si="14"/>
        <v>0</v>
      </c>
      <c r="S52" s="73">
        <f t="shared" si="14"/>
        <v>0</v>
      </c>
      <c r="T52" s="73">
        <f t="shared" si="14"/>
        <v>0</v>
      </c>
      <c r="U52" s="73">
        <f t="shared" si="14"/>
        <v>0</v>
      </c>
      <c r="V52" s="73">
        <f t="shared" si="14"/>
        <v>0</v>
      </c>
      <c r="W52" s="807">
        <f t="shared" si="14"/>
        <v>0</v>
      </c>
    </row>
    <row r="53" spans="1:23" x14ac:dyDescent="0.35">
      <c r="A53" s="901"/>
      <c r="B53" s="805">
        <f t="shared" si="12"/>
        <v>7.75</v>
      </c>
      <c r="C53" s="806">
        <f t="shared" si="14"/>
        <v>0</v>
      </c>
      <c r="D53" s="73">
        <f t="shared" si="14"/>
        <v>0</v>
      </c>
      <c r="E53" s="73">
        <f t="shared" si="14"/>
        <v>0</v>
      </c>
      <c r="F53" s="73">
        <f t="shared" si="14"/>
        <v>0</v>
      </c>
      <c r="G53" s="73">
        <f t="shared" si="14"/>
        <v>0</v>
      </c>
      <c r="H53" s="73">
        <f t="shared" si="14"/>
        <v>0</v>
      </c>
      <c r="I53" s="73">
        <f t="shared" si="14"/>
        <v>0</v>
      </c>
      <c r="J53" s="73">
        <f t="shared" si="14"/>
        <v>0</v>
      </c>
      <c r="K53" s="73">
        <f t="shared" si="14"/>
        <v>0</v>
      </c>
      <c r="L53" s="73">
        <f t="shared" si="14"/>
        <v>0</v>
      </c>
      <c r="M53" s="73">
        <f t="shared" si="14"/>
        <v>0</v>
      </c>
      <c r="N53" s="73">
        <f t="shared" si="14"/>
        <v>0</v>
      </c>
      <c r="O53" s="73">
        <f t="shared" si="14"/>
        <v>0</v>
      </c>
      <c r="P53" s="73">
        <f t="shared" si="14"/>
        <v>0</v>
      </c>
      <c r="Q53" s="73">
        <f t="shared" si="14"/>
        <v>0</v>
      </c>
      <c r="R53" s="73">
        <f t="shared" si="14"/>
        <v>0</v>
      </c>
      <c r="S53" s="73">
        <f t="shared" si="14"/>
        <v>0</v>
      </c>
      <c r="T53" s="73">
        <f t="shared" si="14"/>
        <v>0</v>
      </c>
      <c r="U53" s="73">
        <f t="shared" si="14"/>
        <v>0</v>
      </c>
      <c r="V53" s="73">
        <f t="shared" si="14"/>
        <v>0</v>
      </c>
      <c r="W53" s="807">
        <f t="shared" si="14"/>
        <v>0</v>
      </c>
    </row>
    <row r="54" spans="1:23" x14ac:dyDescent="0.35">
      <c r="A54" s="901"/>
      <c r="B54" s="805">
        <f t="shared" si="12"/>
        <v>8.25</v>
      </c>
      <c r="C54" s="806">
        <f t="shared" si="14"/>
        <v>0</v>
      </c>
      <c r="D54" s="73">
        <f t="shared" si="14"/>
        <v>0</v>
      </c>
      <c r="E54" s="73">
        <f t="shared" si="14"/>
        <v>0</v>
      </c>
      <c r="F54" s="73">
        <f t="shared" si="14"/>
        <v>0</v>
      </c>
      <c r="G54" s="73">
        <f t="shared" si="14"/>
        <v>0</v>
      </c>
      <c r="H54" s="73">
        <f t="shared" si="14"/>
        <v>0</v>
      </c>
      <c r="I54" s="73">
        <f t="shared" si="14"/>
        <v>0</v>
      </c>
      <c r="J54" s="73">
        <f t="shared" si="14"/>
        <v>0</v>
      </c>
      <c r="K54" s="73">
        <f t="shared" si="14"/>
        <v>0</v>
      </c>
      <c r="L54" s="73">
        <f t="shared" si="14"/>
        <v>0</v>
      </c>
      <c r="M54" s="73">
        <f t="shared" si="14"/>
        <v>0</v>
      </c>
      <c r="N54" s="73">
        <f t="shared" si="14"/>
        <v>0</v>
      </c>
      <c r="O54" s="73">
        <f t="shared" si="14"/>
        <v>0</v>
      </c>
      <c r="P54" s="73">
        <f t="shared" si="14"/>
        <v>0</v>
      </c>
      <c r="Q54" s="73">
        <f t="shared" si="14"/>
        <v>0</v>
      </c>
      <c r="R54" s="73">
        <f t="shared" si="14"/>
        <v>0</v>
      </c>
      <c r="S54" s="73">
        <f t="shared" si="14"/>
        <v>0</v>
      </c>
      <c r="T54" s="73">
        <f t="shared" si="14"/>
        <v>0</v>
      </c>
      <c r="U54" s="73">
        <f t="shared" si="14"/>
        <v>0</v>
      </c>
      <c r="V54" s="73">
        <f t="shared" si="14"/>
        <v>0</v>
      </c>
      <c r="W54" s="807">
        <f t="shared" si="14"/>
        <v>0</v>
      </c>
    </row>
    <row r="55" spans="1:23" x14ac:dyDescent="0.35">
      <c r="A55" s="901"/>
      <c r="B55" s="805">
        <f t="shared" si="12"/>
        <v>8.75</v>
      </c>
      <c r="C55" s="806">
        <f t="shared" si="14"/>
        <v>0</v>
      </c>
      <c r="D55" s="73">
        <f t="shared" si="14"/>
        <v>0</v>
      </c>
      <c r="E55" s="73">
        <f t="shared" si="14"/>
        <v>0</v>
      </c>
      <c r="F55" s="73">
        <f t="shared" si="14"/>
        <v>0</v>
      </c>
      <c r="G55" s="73">
        <f t="shared" si="14"/>
        <v>0</v>
      </c>
      <c r="H55" s="73">
        <f t="shared" si="14"/>
        <v>0</v>
      </c>
      <c r="I55" s="73">
        <f t="shared" si="14"/>
        <v>0</v>
      </c>
      <c r="J55" s="73">
        <f t="shared" si="14"/>
        <v>0</v>
      </c>
      <c r="K55" s="73">
        <f t="shared" si="14"/>
        <v>0</v>
      </c>
      <c r="L55" s="73">
        <f t="shared" si="14"/>
        <v>0</v>
      </c>
      <c r="M55" s="73">
        <f t="shared" si="14"/>
        <v>0</v>
      </c>
      <c r="N55" s="73">
        <f t="shared" si="14"/>
        <v>0</v>
      </c>
      <c r="O55" s="73">
        <f t="shared" si="14"/>
        <v>0</v>
      </c>
      <c r="P55" s="73">
        <f t="shared" si="14"/>
        <v>0</v>
      </c>
      <c r="Q55" s="73">
        <f t="shared" si="14"/>
        <v>0</v>
      </c>
      <c r="R55" s="73">
        <f t="shared" si="14"/>
        <v>0</v>
      </c>
      <c r="S55" s="73">
        <f t="shared" si="14"/>
        <v>0</v>
      </c>
      <c r="T55" s="73">
        <f t="shared" si="14"/>
        <v>0</v>
      </c>
      <c r="U55" s="73">
        <f t="shared" si="14"/>
        <v>0</v>
      </c>
      <c r="V55" s="73">
        <f t="shared" si="14"/>
        <v>0</v>
      </c>
      <c r="W55" s="807">
        <f t="shared" si="14"/>
        <v>0</v>
      </c>
    </row>
    <row r="56" spans="1:23" x14ac:dyDescent="0.35">
      <c r="A56" s="901"/>
      <c r="B56" s="805">
        <f t="shared" si="12"/>
        <v>9.25</v>
      </c>
      <c r="C56" s="806">
        <f t="shared" si="14"/>
        <v>0</v>
      </c>
      <c r="D56" s="73">
        <f t="shared" si="14"/>
        <v>0</v>
      </c>
      <c r="E56" s="73">
        <f t="shared" si="14"/>
        <v>0</v>
      </c>
      <c r="F56" s="73">
        <f t="shared" si="14"/>
        <v>0</v>
      </c>
      <c r="G56" s="73">
        <f t="shared" si="14"/>
        <v>0</v>
      </c>
      <c r="H56" s="73">
        <f t="shared" si="14"/>
        <v>0</v>
      </c>
      <c r="I56" s="73">
        <f t="shared" si="14"/>
        <v>0</v>
      </c>
      <c r="J56" s="73">
        <f t="shared" si="14"/>
        <v>0</v>
      </c>
      <c r="K56" s="73">
        <f t="shared" si="14"/>
        <v>0</v>
      </c>
      <c r="L56" s="73">
        <f t="shared" si="14"/>
        <v>0</v>
      </c>
      <c r="M56" s="73">
        <f t="shared" si="14"/>
        <v>0</v>
      </c>
      <c r="N56" s="73">
        <f t="shared" si="14"/>
        <v>0</v>
      </c>
      <c r="O56" s="73">
        <f t="shared" si="14"/>
        <v>0</v>
      </c>
      <c r="P56" s="73">
        <f t="shared" si="14"/>
        <v>0</v>
      </c>
      <c r="Q56" s="73">
        <f t="shared" si="14"/>
        <v>0</v>
      </c>
      <c r="R56" s="73">
        <f t="shared" si="14"/>
        <v>0</v>
      </c>
      <c r="S56" s="73">
        <f t="shared" si="14"/>
        <v>0</v>
      </c>
      <c r="T56" s="73">
        <f t="shared" si="14"/>
        <v>0</v>
      </c>
      <c r="U56" s="73">
        <f t="shared" si="14"/>
        <v>0</v>
      </c>
      <c r="V56" s="73">
        <f t="shared" si="14"/>
        <v>0</v>
      </c>
      <c r="W56" s="807">
        <f t="shared" si="14"/>
        <v>0</v>
      </c>
    </row>
    <row r="57" spans="1:23" ht="15" thickBot="1" x14ac:dyDescent="0.4">
      <c r="A57" s="902"/>
      <c r="B57" s="808">
        <f t="shared" si="12"/>
        <v>9.75</v>
      </c>
      <c r="C57" s="809">
        <f t="shared" si="14"/>
        <v>0</v>
      </c>
      <c r="D57" s="810">
        <f t="shared" si="14"/>
        <v>0</v>
      </c>
      <c r="E57" s="810">
        <f t="shared" si="14"/>
        <v>0</v>
      </c>
      <c r="F57" s="810">
        <f t="shared" si="14"/>
        <v>0</v>
      </c>
      <c r="G57" s="810">
        <f t="shared" si="14"/>
        <v>0</v>
      </c>
      <c r="H57" s="810">
        <f t="shared" si="14"/>
        <v>0</v>
      </c>
      <c r="I57" s="810">
        <f t="shared" si="14"/>
        <v>0</v>
      </c>
      <c r="J57" s="810">
        <f t="shared" si="14"/>
        <v>0</v>
      </c>
      <c r="K57" s="810">
        <f t="shared" si="14"/>
        <v>0</v>
      </c>
      <c r="L57" s="810">
        <f t="shared" si="14"/>
        <v>0</v>
      </c>
      <c r="M57" s="810">
        <f t="shared" si="14"/>
        <v>0</v>
      </c>
      <c r="N57" s="810">
        <f t="shared" si="14"/>
        <v>0</v>
      </c>
      <c r="O57" s="810">
        <f t="shared" si="14"/>
        <v>0</v>
      </c>
      <c r="P57" s="810">
        <f t="shared" si="14"/>
        <v>0</v>
      </c>
      <c r="Q57" s="810">
        <f t="shared" si="14"/>
        <v>0</v>
      </c>
      <c r="R57" s="810">
        <f t="shared" si="14"/>
        <v>0</v>
      </c>
      <c r="S57" s="810">
        <f t="shared" si="14"/>
        <v>0</v>
      </c>
      <c r="T57" s="810">
        <f t="shared" si="14"/>
        <v>0</v>
      </c>
      <c r="U57" s="810">
        <f t="shared" si="14"/>
        <v>0</v>
      </c>
      <c r="V57" s="810">
        <f t="shared" si="14"/>
        <v>0</v>
      </c>
      <c r="W57" s="811">
        <f t="shared" si="14"/>
        <v>0</v>
      </c>
    </row>
    <row r="58" spans="1:23" ht="15" thickBot="1" x14ac:dyDescent="0.4">
      <c r="A58" s="812"/>
      <c r="B58" s="545"/>
      <c r="C58" s="813">
        <f>C37*1.16</f>
        <v>0.57999999999999996</v>
      </c>
      <c r="D58" s="813">
        <f t="shared" ref="D58:W58" si="15">D37*1.16</f>
        <v>1.7399999999999998</v>
      </c>
      <c r="E58" s="813">
        <f t="shared" si="15"/>
        <v>2.9</v>
      </c>
      <c r="F58" s="813">
        <f t="shared" si="15"/>
        <v>4.0599999999999996</v>
      </c>
      <c r="G58" s="813">
        <f t="shared" si="15"/>
        <v>5.22</v>
      </c>
      <c r="H58" s="813">
        <f t="shared" si="15"/>
        <v>6.38</v>
      </c>
      <c r="I58" s="813">
        <f t="shared" si="15"/>
        <v>7.5399999999999991</v>
      </c>
      <c r="J58" s="813">
        <f t="shared" si="15"/>
        <v>8.6999999999999993</v>
      </c>
      <c r="K58" s="813">
        <f t="shared" si="15"/>
        <v>9.86</v>
      </c>
      <c r="L58" s="813">
        <f t="shared" si="15"/>
        <v>11.02</v>
      </c>
      <c r="M58" s="813">
        <f t="shared" si="15"/>
        <v>12.18</v>
      </c>
      <c r="N58" s="813">
        <f t="shared" si="15"/>
        <v>13.34</v>
      </c>
      <c r="O58" s="813">
        <f t="shared" si="15"/>
        <v>14.499999999999998</v>
      </c>
      <c r="P58" s="813">
        <f t="shared" si="15"/>
        <v>15.659999999999998</v>
      </c>
      <c r="Q58" s="813">
        <f t="shared" si="15"/>
        <v>16.82</v>
      </c>
      <c r="R58" s="813">
        <f t="shared" si="15"/>
        <v>17.98</v>
      </c>
      <c r="S58" s="813">
        <f t="shared" si="15"/>
        <v>19.139999999999997</v>
      </c>
      <c r="T58" s="813">
        <f t="shared" si="15"/>
        <v>20.299999999999997</v>
      </c>
      <c r="U58" s="813">
        <f t="shared" si="15"/>
        <v>21.459999999999997</v>
      </c>
      <c r="V58" s="813">
        <f t="shared" si="15"/>
        <v>22.619999999999997</v>
      </c>
      <c r="W58" s="813">
        <f t="shared" si="15"/>
        <v>23.779999999999998</v>
      </c>
    </row>
    <row r="59" spans="1:23" ht="15" thickBot="1" x14ac:dyDescent="0.4">
      <c r="A59" s="812"/>
      <c r="B59" s="545"/>
      <c r="C59" s="893" t="s">
        <v>1375</v>
      </c>
      <c r="D59" s="894"/>
      <c r="E59" s="894"/>
      <c r="F59" s="894"/>
      <c r="G59" s="894"/>
      <c r="H59" s="894"/>
      <c r="I59" s="894"/>
      <c r="J59" s="894"/>
      <c r="K59" s="894"/>
      <c r="L59" s="894"/>
      <c r="M59" s="894"/>
      <c r="N59" s="894"/>
      <c r="O59" s="894"/>
      <c r="P59" s="894"/>
      <c r="Q59" s="894"/>
      <c r="R59" s="894"/>
      <c r="S59" s="894"/>
      <c r="T59" s="894"/>
      <c r="U59" s="894"/>
      <c r="V59" s="894"/>
      <c r="W59" s="895"/>
    </row>
    <row r="62" spans="1:23" x14ac:dyDescent="0.35">
      <c r="A62" s="725" t="s">
        <v>1377</v>
      </c>
    </row>
    <row r="63" spans="1:23" ht="15" thickBot="1" x14ac:dyDescent="0.4"/>
    <row r="64" spans="1:23" ht="15" thickBot="1" x14ac:dyDescent="0.4">
      <c r="A64" s="896" t="s">
        <v>1378</v>
      </c>
      <c r="B64" s="897"/>
      <c r="C64" s="893" t="s">
        <v>1373</v>
      </c>
      <c r="D64" s="894"/>
      <c r="E64" s="894"/>
      <c r="F64" s="894"/>
      <c r="G64" s="894"/>
      <c r="H64" s="894"/>
      <c r="I64" s="894"/>
      <c r="J64" s="894"/>
      <c r="K64" s="894"/>
      <c r="L64" s="894"/>
      <c r="M64" s="894"/>
      <c r="N64" s="894"/>
      <c r="O64" s="894"/>
      <c r="P64" s="894"/>
      <c r="Q64" s="894"/>
      <c r="R64" s="894"/>
      <c r="S64" s="894"/>
      <c r="T64" s="894"/>
      <c r="U64" s="894"/>
      <c r="V64" s="894"/>
      <c r="W64" s="895"/>
    </row>
    <row r="65" spans="1:23" ht="15" thickBot="1" x14ac:dyDescent="0.4">
      <c r="A65" s="898"/>
      <c r="B65" s="899"/>
      <c r="C65" s="798">
        <v>0.5</v>
      </c>
      <c r="D65" s="799">
        <f>C65+1</f>
        <v>1.5</v>
      </c>
      <c r="E65" s="799">
        <f t="shared" ref="E65:W65" si="16">D65+1</f>
        <v>2.5</v>
      </c>
      <c r="F65" s="799">
        <f>E65+1</f>
        <v>3.5</v>
      </c>
      <c r="G65" s="799">
        <f t="shared" si="16"/>
        <v>4.5</v>
      </c>
      <c r="H65" s="799">
        <f t="shared" si="16"/>
        <v>5.5</v>
      </c>
      <c r="I65" s="799">
        <f t="shared" si="16"/>
        <v>6.5</v>
      </c>
      <c r="J65" s="799">
        <f t="shared" si="16"/>
        <v>7.5</v>
      </c>
      <c r="K65" s="799">
        <f t="shared" si="16"/>
        <v>8.5</v>
      </c>
      <c r="L65" s="799">
        <f t="shared" si="16"/>
        <v>9.5</v>
      </c>
      <c r="M65" s="799">
        <f t="shared" si="16"/>
        <v>10.5</v>
      </c>
      <c r="N65" s="799">
        <f t="shared" si="16"/>
        <v>11.5</v>
      </c>
      <c r="O65" s="799">
        <f t="shared" si="16"/>
        <v>12.5</v>
      </c>
      <c r="P65" s="799">
        <f t="shared" si="16"/>
        <v>13.5</v>
      </c>
      <c r="Q65" s="799">
        <f t="shared" si="16"/>
        <v>14.5</v>
      </c>
      <c r="R65" s="799">
        <f t="shared" si="16"/>
        <v>15.5</v>
      </c>
      <c r="S65" s="799">
        <f t="shared" si="16"/>
        <v>16.5</v>
      </c>
      <c r="T65" s="799">
        <f t="shared" si="16"/>
        <v>17.5</v>
      </c>
      <c r="U65" s="799">
        <f t="shared" si="16"/>
        <v>18.5</v>
      </c>
      <c r="V65" s="799">
        <f t="shared" si="16"/>
        <v>19.5</v>
      </c>
      <c r="W65" s="800">
        <f t="shared" si="16"/>
        <v>20.5</v>
      </c>
    </row>
    <row r="66" spans="1:23" x14ac:dyDescent="0.35">
      <c r="A66" s="900" t="s">
        <v>1374</v>
      </c>
      <c r="B66" s="801">
        <v>0.25</v>
      </c>
      <c r="C66" s="815">
        <v>0</v>
      </c>
      <c r="D66" s="816">
        <v>0</v>
      </c>
      <c r="E66" s="816">
        <v>0</v>
      </c>
      <c r="F66" s="816">
        <v>0</v>
      </c>
      <c r="G66" s="816">
        <v>0</v>
      </c>
      <c r="H66" s="816">
        <v>0</v>
      </c>
      <c r="I66" s="816">
        <v>0</v>
      </c>
      <c r="J66" s="816">
        <v>1.9579944915088299E-2</v>
      </c>
      <c r="K66" s="816">
        <v>3.3938571186153101E-2</v>
      </c>
      <c r="L66" s="816">
        <v>0</v>
      </c>
      <c r="M66" s="816">
        <v>0</v>
      </c>
      <c r="N66" s="816">
        <v>0</v>
      </c>
      <c r="O66" s="816">
        <v>0</v>
      </c>
      <c r="P66" s="816">
        <v>0</v>
      </c>
      <c r="Q66" s="816">
        <v>0</v>
      </c>
      <c r="R66" s="816">
        <v>0</v>
      </c>
      <c r="S66" s="816">
        <v>0</v>
      </c>
      <c r="T66" s="816">
        <v>0</v>
      </c>
      <c r="U66" s="816">
        <v>0</v>
      </c>
      <c r="V66" s="816">
        <v>0</v>
      </c>
      <c r="W66" s="817">
        <v>0</v>
      </c>
    </row>
    <row r="67" spans="1:23" x14ac:dyDescent="0.35">
      <c r="A67" s="901"/>
      <c r="B67" s="805">
        <f>B66+0.5</f>
        <v>0.75</v>
      </c>
      <c r="C67" s="818">
        <v>0</v>
      </c>
      <c r="D67" s="819">
        <v>0</v>
      </c>
      <c r="E67" s="819">
        <v>0</v>
      </c>
      <c r="F67" s="819">
        <v>0</v>
      </c>
      <c r="G67" s="819">
        <v>1.9579944915088299E-2</v>
      </c>
      <c r="H67" s="819">
        <v>0.46469735931809603</v>
      </c>
      <c r="I67" s="819">
        <v>1.4867704838857101</v>
      </c>
      <c r="J67" s="819">
        <v>2.68114712370609</v>
      </c>
      <c r="K67" s="819">
        <v>1.9057813050686001</v>
      </c>
      <c r="L67" s="819">
        <v>1.1043088932109799</v>
      </c>
      <c r="M67" s="819">
        <v>0.53387983135140804</v>
      </c>
      <c r="N67" s="819">
        <v>0.17099818559177099</v>
      </c>
      <c r="O67" s="819">
        <v>1.5663955932070601E-2</v>
      </c>
      <c r="P67" s="819">
        <v>0</v>
      </c>
      <c r="Q67" s="819">
        <v>0</v>
      </c>
      <c r="R67" s="819">
        <v>0</v>
      </c>
      <c r="S67" s="819">
        <v>0</v>
      </c>
      <c r="T67" s="819">
        <v>0</v>
      </c>
      <c r="U67" s="819">
        <v>0</v>
      </c>
      <c r="V67" s="819">
        <v>0</v>
      </c>
      <c r="W67" s="820">
        <v>0</v>
      </c>
    </row>
    <row r="68" spans="1:23" x14ac:dyDescent="0.35">
      <c r="A68" s="901"/>
      <c r="B68" s="805">
        <f t="shared" ref="B68:B85" si="17">B67+0.5</f>
        <v>1.25</v>
      </c>
      <c r="C68" s="818">
        <v>0</v>
      </c>
      <c r="D68" s="819">
        <v>0</v>
      </c>
      <c r="E68" s="819">
        <v>0</v>
      </c>
      <c r="F68" s="819">
        <v>0</v>
      </c>
      <c r="G68" s="819">
        <v>1.30532966100589E-2</v>
      </c>
      <c r="H68" s="819">
        <v>0.58870367711365501</v>
      </c>
      <c r="I68" s="819">
        <v>4.1065671135245196</v>
      </c>
      <c r="J68" s="819">
        <v>5.5580936965630698</v>
      </c>
      <c r="K68" s="819">
        <v>4.4785860669112001</v>
      </c>
      <c r="L68" s="819">
        <v>2.7359709694683398</v>
      </c>
      <c r="M68" s="819">
        <v>1.27661240846376</v>
      </c>
      <c r="N68" s="819">
        <v>0.67355010507903801</v>
      </c>
      <c r="O68" s="819">
        <v>0.32763774491247799</v>
      </c>
      <c r="P68" s="819">
        <v>6.7877142372306104E-2</v>
      </c>
      <c r="Q68" s="819">
        <v>1.8274615254082398E-2</v>
      </c>
      <c r="R68" s="819">
        <v>1.6969285593076502E-2</v>
      </c>
      <c r="S68" s="819">
        <v>0</v>
      </c>
      <c r="T68" s="819">
        <v>0</v>
      </c>
      <c r="U68" s="819">
        <v>0</v>
      </c>
      <c r="V68" s="819">
        <v>0</v>
      </c>
      <c r="W68" s="820">
        <v>0</v>
      </c>
    </row>
    <row r="69" spans="1:23" x14ac:dyDescent="0.35">
      <c r="A69" s="901"/>
      <c r="B69" s="805">
        <f t="shared" si="17"/>
        <v>1.75</v>
      </c>
      <c r="C69" s="818">
        <v>0</v>
      </c>
      <c r="D69" s="819">
        <v>0</v>
      </c>
      <c r="E69" s="819">
        <v>0</v>
      </c>
      <c r="F69" s="819">
        <v>0</v>
      </c>
      <c r="G69" s="819">
        <v>0</v>
      </c>
      <c r="H69" s="819">
        <v>0.11878499915153599</v>
      </c>
      <c r="I69" s="819">
        <v>3.26985080081975</v>
      </c>
      <c r="J69" s="819">
        <v>5.1403882050411802</v>
      </c>
      <c r="K69" s="819">
        <v>4.6247829889438599</v>
      </c>
      <c r="L69" s="819">
        <v>3.9264316203057099</v>
      </c>
      <c r="M69" s="819">
        <v>2.1081074025245101</v>
      </c>
      <c r="N69" s="819">
        <v>1.2361471889725799</v>
      </c>
      <c r="O69" s="819">
        <v>0.76231252202743804</v>
      </c>
      <c r="P69" s="819">
        <v>0.30936312965839502</v>
      </c>
      <c r="Q69" s="819">
        <v>9.6594394914435694E-2</v>
      </c>
      <c r="R69" s="819">
        <v>2.87172525421295E-2</v>
      </c>
      <c r="S69" s="819">
        <v>0</v>
      </c>
      <c r="T69" s="819">
        <v>0</v>
      </c>
      <c r="U69" s="819">
        <v>0</v>
      </c>
      <c r="V69" s="819">
        <v>0</v>
      </c>
      <c r="W69" s="820">
        <v>0</v>
      </c>
    </row>
    <row r="70" spans="1:23" x14ac:dyDescent="0.35">
      <c r="A70" s="901"/>
      <c r="B70" s="805">
        <f t="shared" si="17"/>
        <v>2.25</v>
      </c>
      <c r="C70" s="818">
        <v>0</v>
      </c>
      <c r="D70" s="819">
        <v>0</v>
      </c>
      <c r="E70" s="819">
        <v>0</v>
      </c>
      <c r="F70" s="819">
        <v>0</v>
      </c>
      <c r="G70" s="819">
        <v>0</v>
      </c>
      <c r="H70" s="819">
        <v>0</v>
      </c>
      <c r="I70" s="819">
        <v>0.91895208134814499</v>
      </c>
      <c r="J70" s="819">
        <v>5.2500358965656799</v>
      </c>
      <c r="K70" s="819">
        <v>3.67580832539258</v>
      </c>
      <c r="L70" s="819">
        <v>4.1392003550496703</v>
      </c>
      <c r="M70" s="819">
        <v>2.8651986059079202</v>
      </c>
      <c r="N70" s="819">
        <v>1.31055097964991</v>
      </c>
      <c r="O70" s="819">
        <v>0.843242961009803</v>
      </c>
      <c r="P70" s="819">
        <v>0.422926810165907</v>
      </c>
      <c r="Q70" s="819">
        <v>0.198410108472895</v>
      </c>
      <c r="R70" s="819">
        <v>7.5709120338341401E-2</v>
      </c>
      <c r="S70" s="819">
        <v>1.9579944915088299E-2</v>
      </c>
      <c r="T70" s="819">
        <v>0</v>
      </c>
      <c r="U70" s="819">
        <v>0</v>
      </c>
      <c r="V70" s="819">
        <v>0</v>
      </c>
      <c r="W70" s="820">
        <v>0</v>
      </c>
    </row>
    <row r="71" spans="1:23" x14ac:dyDescent="0.35">
      <c r="A71" s="901"/>
      <c r="B71" s="805">
        <f t="shared" si="17"/>
        <v>2.75</v>
      </c>
      <c r="C71" s="818">
        <v>0</v>
      </c>
      <c r="D71" s="819">
        <v>0</v>
      </c>
      <c r="E71" s="819">
        <v>0</v>
      </c>
      <c r="F71" s="819">
        <v>0</v>
      </c>
      <c r="G71" s="819">
        <v>0</v>
      </c>
      <c r="H71" s="819">
        <v>0</v>
      </c>
      <c r="I71" s="819">
        <v>0.13705961440561801</v>
      </c>
      <c r="J71" s="819">
        <v>2.4279131694709499</v>
      </c>
      <c r="K71" s="819">
        <v>2.5963006957407102</v>
      </c>
      <c r="L71" s="819">
        <v>2.81820673811171</v>
      </c>
      <c r="M71" s="819">
        <v>2.8469239906538402</v>
      </c>
      <c r="N71" s="819">
        <v>1.5663955932070599</v>
      </c>
      <c r="O71" s="819">
        <v>0.796251093213591</v>
      </c>
      <c r="P71" s="819">
        <v>0.31719510762443098</v>
      </c>
      <c r="Q71" s="819">
        <v>0.144891592371653</v>
      </c>
      <c r="R71" s="819">
        <v>5.6129175423253103E-2</v>
      </c>
      <c r="S71" s="819">
        <v>1.8274615254082398E-2</v>
      </c>
      <c r="T71" s="819">
        <v>0</v>
      </c>
      <c r="U71" s="819">
        <v>0</v>
      </c>
      <c r="V71" s="819">
        <v>0</v>
      </c>
      <c r="W71" s="820">
        <v>0</v>
      </c>
    </row>
    <row r="72" spans="1:23" x14ac:dyDescent="0.35">
      <c r="A72" s="901"/>
      <c r="B72" s="805">
        <f t="shared" si="17"/>
        <v>3.25</v>
      </c>
      <c r="C72" s="818">
        <v>0</v>
      </c>
      <c r="D72" s="819">
        <v>0</v>
      </c>
      <c r="E72" s="819">
        <v>0</v>
      </c>
      <c r="F72" s="819">
        <v>0</v>
      </c>
      <c r="G72" s="819">
        <v>0</v>
      </c>
      <c r="H72" s="819">
        <v>0</v>
      </c>
      <c r="I72" s="819">
        <v>0</v>
      </c>
      <c r="J72" s="819">
        <v>0.44511741440300701</v>
      </c>
      <c r="K72" s="819">
        <v>1.5428996593089599</v>
      </c>
      <c r="L72" s="819">
        <v>1.46980119829263</v>
      </c>
      <c r="M72" s="819">
        <v>1.95929982116984</v>
      </c>
      <c r="N72" s="819">
        <v>1.4201986711744099</v>
      </c>
      <c r="O72" s="819">
        <v>0.78972444490856197</v>
      </c>
      <c r="P72" s="819">
        <v>0.31850043728543698</v>
      </c>
      <c r="Q72" s="819">
        <v>0.10703703220248301</v>
      </c>
      <c r="R72" s="819">
        <v>4.0465219491182501E-2</v>
      </c>
      <c r="S72" s="819">
        <v>1.9579944915088299E-2</v>
      </c>
      <c r="T72" s="819">
        <v>1.1747966949053E-2</v>
      </c>
      <c r="U72" s="819">
        <v>1.0442637288047099E-2</v>
      </c>
      <c r="V72" s="819">
        <v>0</v>
      </c>
      <c r="W72" s="820">
        <v>0</v>
      </c>
    </row>
    <row r="73" spans="1:23" x14ac:dyDescent="0.35">
      <c r="A73" s="901"/>
      <c r="B73" s="805">
        <f t="shared" si="17"/>
        <v>3.75</v>
      </c>
      <c r="C73" s="818">
        <v>0</v>
      </c>
      <c r="D73" s="819">
        <v>0</v>
      </c>
      <c r="E73" s="819">
        <v>0</v>
      </c>
      <c r="F73" s="819">
        <v>0</v>
      </c>
      <c r="G73" s="819">
        <v>0</v>
      </c>
      <c r="H73" s="819">
        <v>0</v>
      </c>
      <c r="I73" s="819">
        <v>0</v>
      </c>
      <c r="J73" s="819">
        <v>4.8297197457217798E-2</v>
      </c>
      <c r="K73" s="819">
        <v>0.49080395253821402</v>
      </c>
      <c r="L73" s="819">
        <v>0.62916889660483799</v>
      </c>
      <c r="M73" s="819">
        <v>1.0768969703298601</v>
      </c>
      <c r="N73" s="819">
        <v>1.0064091686355401</v>
      </c>
      <c r="O73" s="819">
        <v>0.62786356694383205</v>
      </c>
      <c r="P73" s="819">
        <v>0.29108851440431299</v>
      </c>
      <c r="Q73" s="819">
        <v>0.101815713558459</v>
      </c>
      <c r="R73" s="819">
        <v>4.8297197457217798E-2</v>
      </c>
      <c r="S73" s="819">
        <v>1.8274615254082398E-2</v>
      </c>
      <c r="T73" s="819">
        <v>0</v>
      </c>
      <c r="U73" s="819">
        <v>0</v>
      </c>
      <c r="V73" s="819">
        <v>0</v>
      </c>
      <c r="W73" s="820">
        <v>0</v>
      </c>
    </row>
    <row r="74" spans="1:23" x14ac:dyDescent="0.35">
      <c r="A74" s="901"/>
      <c r="B74" s="805">
        <f t="shared" si="17"/>
        <v>4.25</v>
      </c>
      <c r="C74" s="818">
        <v>0</v>
      </c>
      <c r="D74" s="819">
        <v>0</v>
      </c>
      <c r="E74" s="819">
        <v>0</v>
      </c>
      <c r="F74" s="819">
        <v>0</v>
      </c>
      <c r="G74" s="819">
        <v>0</v>
      </c>
      <c r="H74" s="819">
        <v>0</v>
      </c>
      <c r="I74" s="819">
        <v>0</v>
      </c>
      <c r="J74" s="819">
        <v>0</v>
      </c>
      <c r="K74" s="819">
        <v>9.39837355924239E-2</v>
      </c>
      <c r="L74" s="819">
        <v>0.20885274576094201</v>
      </c>
      <c r="M74" s="819">
        <v>0.44903340338602499</v>
      </c>
      <c r="N74" s="819">
        <v>0.55868109491051998</v>
      </c>
      <c r="O74" s="819">
        <v>0.41640016186087803</v>
      </c>
      <c r="P74" s="819">
        <v>0.211463405082954</v>
      </c>
      <c r="Q74" s="819">
        <v>6.7877142372306104E-2</v>
      </c>
      <c r="R74" s="819">
        <v>2.3495933898105999E-2</v>
      </c>
      <c r="S74" s="819">
        <v>2.0885274576094199E-2</v>
      </c>
      <c r="T74" s="819">
        <v>0</v>
      </c>
      <c r="U74" s="819">
        <v>0</v>
      </c>
      <c r="V74" s="819">
        <v>0</v>
      </c>
      <c r="W74" s="820">
        <v>0</v>
      </c>
    </row>
    <row r="75" spans="1:23" x14ac:dyDescent="0.35">
      <c r="A75" s="901"/>
      <c r="B75" s="805">
        <f t="shared" si="17"/>
        <v>4.75</v>
      </c>
      <c r="C75" s="818">
        <v>0</v>
      </c>
      <c r="D75" s="819">
        <v>0</v>
      </c>
      <c r="E75" s="819">
        <v>0</v>
      </c>
      <c r="F75" s="819">
        <v>0</v>
      </c>
      <c r="G75" s="819">
        <v>0</v>
      </c>
      <c r="H75" s="819">
        <v>0</v>
      </c>
      <c r="I75" s="819">
        <v>0</v>
      </c>
      <c r="J75" s="819">
        <v>0</v>
      </c>
      <c r="K75" s="819">
        <v>1.9579944915088299E-2</v>
      </c>
      <c r="L75" s="819">
        <v>8.2235768643370899E-2</v>
      </c>
      <c r="M75" s="819">
        <v>0.121395658473547</v>
      </c>
      <c r="N75" s="819">
        <v>0.26367659152318901</v>
      </c>
      <c r="O75" s="819">
        <v>0.266287250845201</v>
      </c>
      <c r="P75" s="819">
        <v>0.186662141523842</v>
      </c>
      <c r="Q75" s="819">
        <v>7.1793131355323794E-2</v>
      </c>
      <c r="R75" s="819">
        <v>2.3495933898105999E-2</v>
      </c>
      <c r="S75" s="819">
        <v>1.0442637288047099E-2</v>
      </c>
      <c r="T75" s="819">
        <v>0</v>
      </c>
      <c r="U75" s="819">
        <v>0</v>
      </c>
      <c r="V75" s="819">
        <v>0</v>
      </c>
      <c r="W75" s="820">
        <v>0</v>
      </c>
    </row>
    <row r="76" spans="1:23" x14ac:dyDescent="0.35">
      <c r="A76" s="901"/>
      <c r="B76" s="805">
        <f t="shared" si="17"/>
        <v>5.25</v>
      </c>
      <c r="C76" s="818">
        <v>0</v>
      </c>
      <c r="D76" s="819">
        <v>0</v>
      </c>
      <c r="E76" s="819">
        <v>0</v>
      </c>
      <c r="F76" s="819">
        <v>0</v>
      </c>
      <c r="G76" s="819">
        <v>0</v>
      </c>
      <c r="H76" s="819">
        <v>0</v>
      </c>
      <c r="I76" s="819">
        <v>0</v>
      </c>
      <c r="J76" s="819">
        <v>0</v>
      </c>
      <c r="K76" s="819">
        <v>0</v>
      </c>
      <c r="L76" s="819">
        <v>2.7411922881123599E-2</v>
      </c>
      <c r="M76" s="819">
        <v>2.7411922881123599E-2</v>
      </c>
      <c r="N76" s="819">
        <v>0.105731702541477</v>
      </c>
      <c r="O76" s="819">
        <v>0.151418240676683</v>
      </c>
      <c r="P76" s="819">
        <v>0.13053296610058901</v>
      </c>
      <c r="Q76" s="819">
        <v>7.0487801694317898E-2</v>
      </c>
      <c r="R76" s="819">
        <v>2.0885274576094199E-2</v>
      </c>
      <c r="S76" s="819">
        <v>0</v>
      </c>
      <c r="T76" s="819">
        <v>0</v>
      </c>
      <c r="U76" s="819">
        <v>0</v>
      </c>
      <c r="V76" s="819">
        <v>0</v>
      </c>
      <c r="W76" s="820">
        <v>0</v>
      </c>
    </row>
    <row r="77" spans="1:23" x14ac:dyDescent="0.35">
      <c r="A77" s="901"/>
      <c r="B77" s="805">
        <f t="shared" si="17"/>
        <v>5.75</v>
      </c>
      <c r="C77" s="818">
        <v>0</v>
      </c>
      <c r="D77" s="819">
        <v>0</v>
      </c>
      <c r="E77" s="819">
        <v>0</v>
      </c>
      <c r="F77" s="819">
        <v>0</v>
      </c>
      <c r="G77" s="819">
        <v>0</v>
      </c>
      <c r="H77" s="819">
        <v>0</v>
      </c>
      <c r="I77" s="819">
        <v>0</v>
      </c>
      <c r="J77" s="819">
        <v>0</v>
      </c>
      <c r="K77" s="819">
        <v>0</v>
      </c>
      <c r="L77" s="819">
        <v>0</v>
      </c>
      <c r="M77" s="819">
        <v>0</v>
      </c>
      <c r="N77" s="819">
        <v>2.2190604237100099E-2</v>
      </c>
      <c r="O77" s="819">
        <v>7.3098461016329705E-2</v>
      </c>
      <c r="P77" s="819">
        <v>5.4823845762247303E-2</v>
      </c>
      <c r="Q77" s="819">
        <v>4.5686538135205998E-2</v>
      </c>
      <c r="R77" s="819">
        <v>1.8274615254082398E-2</v>
      </c>
      <c r="S77" s="819">
        <v>0</v>
      </c>
      <c r="T77" s="819">
        <v>0</v>
      </c>
      <c r="U77" s="819">
        <v>0</v>
      </c>
      <c r="V77" s="819">
        <v>0</v>
      </c>
      <c r="W77" s="820">
        <v>0</v>
      </c>
    </row>
    <row r="78" spans="1:23" x14ac:dyDescent="0.35">
      <c r="A78" s="901"/>
      <c r="B78" s="805">
        <f t="shared" si="17"/>
        <v>6.25</v>
      </c>
      <c r="C78" s="818">
        <v>0</v>
      </c>
      <c r="D78" s="819">
        <v>0</v>
      </c>
      <c r="E78" s="819">
        <v>0</v>
      </c>
      <c r="F78" s="819">
        <v>0</v>
      </c>
      <c r="G78" s="819">
        <v>0</v>
      </c>
      <c r="H78" s="819">
        <v>0</v>
      </c>
      <c r="I78" s="819">
        <v>0</v>
      </c>
      <c r="J78" s="819">
        <v>0</v>
      </c>
      <c r="K78" s="819">
        <v>0</v>
      </c>
      <c r="L78" s="819">
        <v>0</v>
      </c>
      <c r="M78" s="819">
        <v>0</v>
      </c>
      <c r="N78" s="819">
        <v>0</v>
      </c>
      <c r="O78" s="819">
        <v>3.2633241525147197E-2</v>
      </c>
      <c r="P78" s="819">
        <v>4.0465219491182501E-2</v>
      </c>
      <c r="Q78" s="819">
        <v>2.0885274576094199E-2</v>
      </c>
      <c r="R78" s="819">
        <v>1.1747966949053E-2</v>
      </c>
      <c r="S78" s="819">
        <v>0</v>
      </c>
      <c r="T78" s="819">
        <v>0</v>
      </c>
      <c r="U78" s="819">
        <v>0</v>
      </c>
      <c r="V78" s="819">
        <v>0</v>
      </c>
      <c r="W78" s="820">
        <v>0</v>
      </c>
    </row>
    <row r="79" spans="1:23" x14ac:dyDescent="0.35">
      <c r="A79" s="901"/>
      <c r="B79" s="805">
        <f t="shared" si="17"/>
        <v>6.75</v>
      </c>
      <c r="C79" s="818">
        <v>0</v>
      </c>
      <c r="D79" s="819">
        <v>0</v>
      </c>
      <c r="E79" s="819">
        <v>0</v>
      </c>
      <c r="F79" s="819">
        <v>0</v>
      </c>
      <c r="G79" s="819">
        <v>0</v>
      </c>
      <c r="H79" s="819">
        <v>0</v>
      </c>
      <c r="I79" s="819">
        <v>0</v>
      </c>
      <c r="J79" s="819">
        <v>0</v>
      </c>
      <c r="K79" s="819">
        <v>0</v>
      </c>
      <c r="L79" s="819">
        <v>0</v>
      </c>
      <c r="M79" s="819">
        <v>0</v>
      </c>
      <c r="N79" s="819">
        <v>0</v>
      </c>
      <c r="O79" s="819">
        <v>0</v>
      </c>
      <c r="P79" s="819">
        <v>2.0885274576094199E-2</v>
      </c>
      <c r="Q79" s="819">
        <v>1.8274615254082398E-2</v>
      </c>
      <c r="R79" s="819">
        <v>0</v>
      </c>
      <c r="S79" s="819">
        <v>0</v>
      </c>
      <c r="T79" s="819">
        <v>0</v>
      </c>
      <c r="U79" s="819">
        <v>0</v>
      </c>
      <c r="V79" s="819">
        <v>0</v>
      </c>
      <c r="W79" s="820">
        <v>0</v>
      </c>
    </row>
    <row r="80" spans="1:23" x14ac:dyDescent="0.35">
      <c r="A80" s="901"/>
      <c r="B80" s="805">
        <f t="shared" si="17"/>
        <v>7.25</v>
      </c>
      <c r="C80" s="818">
        <v>0</v>
      </c>
      <c r="D80" s="819">
        <v>0</v>
      </c>
      <c r="E80" s="819">
        <v>0</v>
      </c>
      <c r="F80" s="819">
        <v>0</v>
      </c>
      <c r="G80" s="819">
        <v>0</v>
      </c>
      <c r="H80" s="819">
        <v>0</v>
      </c>
      <c r="I80" s="819">
        <v>0</v>
      </c>
      <c r="J80" s="819">
        <v>0</v>
      </c>
      <c r="K80" s="819">
        <v>0</v>
      </c>
      <c r="L80" s="819">
        <v>0</v>
      </c>
      <c r="M80" s="819">
        <v>0</v>
      </c>
      <c r="N80" s="819">
        <v>0</v>
      </c>
      <c r="O80" s="819">
        <v>0</v>
      </c>
      <c r="P80" s="819">
        <v>0</v>
      </c>
      <c r="Q80" s="819">
        <v>0</v>
      </c>
      <c r="R80" s="819">
        <v>0</v>
      </c>
      <c r="S80" s="819">
        <v>0</v>
      </c>
      <c r="T80" s="819">
        <v>0</v>
      </c>
      <c r="U80" s="819">
        <v>0</v>
      </c>
      <c r="V80" s="819">
        <v>0</v>
      </c>
      <c r="W80" s="820">
        <v>0</v>
      </c>
    </row>
    <row r="81" spans="1:23" x14ac:dyDescent="0.35">
      <c r="A81" s="901"/>
      <c r="B81" s="805">
        <f t="shared" si="17"/>
        <v>7.75</v>
      </c>
      <c r="C81" s="818">
        <v>0</v>
      </c>
      <c r="D81" s="819">
        <v>0</v>
      </c>
      <c r="E81" s="819">
        <v>0</v>
      </c>
      <c r="F81" s="819">
        <v>0</v>
      </c>
      <c r="G81" s="819">
        <v>0</v>
      </c>
      <c r="H81" s="819">
        <v>0</v>
      </c>
      <c r="I81" s="819">
        <v>0</v>
      </c>
      <c r="J81" s="819">
        <v>0</v>
      </c>
      <c r="K81" s="819">
        <v>0</v>
      </c>
      <c r="L81" s="819">
        <v>0</v>
      </c>
      <c r="M81" s="819">
        <v>0</v>
      </c>
      <c r="N81" s="819">
        <v>0</v>
      </c>
      <c r="O81" s="819">
        <v>0</v>
      </c>
      <c r="P81" s="819">
        <v>0</v>
      </c>
      <c r="Q81" s="819">
        <v>0</v>
      </c>
      <c r="R81" s="819">
        <v>0</v>
      </c>
      <c r="S81" s="819">
        <v>0</v>
      </c>
      <c r="T81" s="819">
        <v>0</v>
      </c>
      <c r="U81" s="819">
        <v>0</v>
      </c>
      <c r="V81" s="819">
        <v>0</v>
      </c>
      <c r="W81" s="820">
        <v>0</v>
      </c>
    </row>
    <row r="82" spans="1:23" x14ac:dyDescent="0.35">
      <c r="A82" s="901"/>
      <c r="B82" s="805">
        <f t="shared" si="17"/>
        <v>8.25</v>
      </c>
      <c r="C82" s="818">
        <v>0</v>
      </c>
      <c r="D82" s="819">
        <v>0</v>
      </c>
      <c r="E82" s="819">
        <v>0</v>
      </c>
      <c r="F82" s="819">
        <v>0</v>
      </c>
      <c r="G82" s="819">
        <v>0</v>
      </c>
      <c r="H82" s="819">
        <v>0</v>
      </c>
      <c r="I82" s="819">
        <v>0</v>
      </c>
      <c r="J82" s="819">
        <v>0</v>
      </c>
      <c r="K82" s="819">
        <v>0</v>
      </c>
      <c r="L82" s="819">
        <v>0</v>
      </c>
      <c r="M82" s="819">
        <v>0</v>
      </c>
      <c r="N82" s="819">
        <v>0</v>
      </c>
      <c r="O82" s="819">
        <v>0</v>
      </c>
      <c r="P82" s="819">
        <v>0</v>
      </c>
      <c r="Q82" s="819">
        <v>0</v>
      </c>
      <c r="R82" s="819">
        <v>0</v>
      </c>
      <c r="S82" s="819">
        <v>0</v>
      </c>
      <c r="T82" s="819">
        <v>0</v>
      </c>
      <c r="U82" s="819">
        <v>0</v>
      </c>
      <c r="V82" s="819">
        <v>0</v>
      </c>
      <c r="W82" s="820">
        <v>0</v>
      </c>
    </row>
    <row r="83" spans="1:23" x14ac:dyDescent="0.35">
      <c r="A83" s="901"/>
      <c r="B83" s="805">
        <f t="shared" si="17"/>
        <v>8.75</v>
      </c>
      <c r="C83" s="818">
        <v>0</v>
      </c>
      <c r="D83" s="819">
        <v>0</v>
      </c>
      <c r="E83" s="819">
        <v>0</v>
      </c>
      <c r="F83" s="819">
        <v>0</v>
      </c>
      <c r="G83" s="819">
        <v>0</v>
      </c>
      <c r="H83" s="819">
        <v>0</v>
      </c>
      <c r="I83" s="819">
        <v>0</v>
      </c>
      <c r="J83" s="819">
        <v>0</v>
      </c>
      <c r="K83" s="819">
        <v>0</v>
      </c>
      <c r="L83" s="819">
        <v>0</v>
      </c>
      <c r="M83" s="819">
        <v>0</v>
      </c>
      <c r="N83" s="819">
        <v>0</v>
      </c>
      <c r="O83" s="819">
        <v>0</v>
      </c>
      <c r="P83" s="819">
        <v>0</v>
      </c>
      <c r="Q83" s="819">
        <v>0</v>
      </c>
      <c r="R83" s="819">
        <v>0</v>
      </c>
      <c r="S83" s="819">
        <v>0</v>
      </c>
      <c r="T83" s="819">
        <v>0</v>
      </c>
      <c r="U83" s="819">
        <v>0</v>
      </c>
      <c r="V83" s="819">
        <v>0</v>
      </c>
      <c r="W83" s="820">
        <v>0</v>
      </c>
    </row>
    <row r="84" spans="1:23" x14ac:dyDescent="0.35">
      <c r="A84" s="901"/>
      <c r="B84" s="805">
        <f t="shared" si="17"/>
        <v>9.25</v>
      </c>
      <c r="C84" s="818">
        <v>0</v>
      </c>
      <c r="D84" s="819">
        <v>0</v>
      </c>
      <c r="E84" s="819">
        <v>0</v>
      </c>
      <c r="F84" s="819">
        <v>0</v>
      </c>
      <c r="G84" s="819">
        <v>0</v>
      </c>
      <c r="H84" s="819">
        <v>0</v>
      </c>
      <c r="I84" s="819">
        <v>0</v>
      </c>
      <c r="J84" s="819">
        <v>0</v>
      </c>
      <c r="K84" s="819">
        <v>0</v>
      </c>
      <c r="L84" s="819">
        <v>0</v>
      </c>
      <c r="M84" s="819">
        <v>0</v>
      </c>
      <c r="N84" s="819">
        <v>0</v>
      </c>
      <c r="O84" s="819">
        <v>0</v>
      </c>
      <c r="P84" s="819">
        <v>0</v>
      </c>
      <c r="Q84" s="819">
        <v>0</v>
      </c>
      <c r="R84" s="819">
        <v>0</v>
      </c>
      <c r="S84" s="819">
        <v>0</v>
      </c>
      <c r="T84" s="819">
        <v>0</v>
      </c>
      <c r="U84" s="819">
        <v>0</v>
      </c>
      <c r="V84" s="819">
        <v>0</v>
      </c>
      <c r="W84" s="820">
        <v>0</v>
      </c>
    </row>
    <row r="85" spans="1:23" ht="15" thickBot="1" x14ac:dyDescent="0.4">
      <c r="A85" s="902"/>
      <c r="B85" s="808">
        <f t="shared" si="17"/>
        <v>9.75</v>
      </c>
      <c r="C85" s="821">
        <v>0</v>
      </c>
      <c r="D85" s="822">
        <v>0</v>
      </c>
      <c r="E85" s="822">
        <v>0</v>
      </c>
      <c r="F85" s="822">
        <v>0</v>
      </c>
      <c r="G85" s="822">
        <v>0</v>
      </c>
      <c r="H85" s="822">
        <v>0</v>
      </c>
      <c r="I85" s="822">
        <v>0</v>
      </c>
      <c r="J85" s="822">
        <v>0</v>
      </c>
      <c r="K85" s="822">
        <v>0</v>
      </c>
      <c r="L85" s="822">
        <v>0</v>
      </c>
      <c r="M85" s="822">
        <v>0</v>
      </c>
      <c r="N85" s="822">
        <v>0</v>
      </c>
      <c r="O85" s="822">
        <v>0</v>
      </c>
      <c r="P85" s="822">
        <v>0</v>
      </c>
      <c r="Q85" s="822">
        <v>0</v>
      </c>
      <c r="R85" s="822">
        <v>0</v>
      </c>
      <c r="S85" s="822">
        <v>0</v>
      </c>
      <c r="T85" s="822">
        <v>0</v>
      </c>
      <c r="U85" s="822">
        <v>0</v>
      </c>
      <c r="V85" s="822">
        <v>0</v>
      </c>
      <c r="W85" s="823">
        <v>0</v>
      </c>
    </row>
    <row r="86" spans="1:23" ht="15" thickBot="1" x14ac:dyDescent="0.4">
      <c r="A86" s="812"/>
      <c r="B86" s="545"/>
      <c r="C86" s="813">
        <f>C65*1.16</f>
        <v>0.57999999999999996</v>
      </c>
      <c r="D86" s="813">
        <f t="shared" ref="D86:W86" si="18">D65*1.16</f>
        <v>1.7399999999999998</v>
      </c>
      <c r="E86" s="813">
        <f t="shared" si="18"/>
        <v>2.9</v>
      </c>
      <c r="F86" s="813">
        <f t="shared" si="18"/>
        <v>4.0599999999999996</v>
      </c>
      <c r="G86" s="813">
        <f t="shared" si="18"/>
        <v>5.22</v>
      </c>
      <c r="H86" s="813">
        <f t="shared" si="18"/>
        <v>6.38</v>
      </c>
      <c r="I86" s="813">
        <f t="shared" si="18"/>
        <v>7.5399999999999991</v>
      </c>
      <c r="J86" s="813">
        <f t="shared" si="18"/>
        <v>8.6999999999999993</v>
      </c>
      <c r="K86" s="813">
        <f t="shared" si="18"/>
        <v>9.86</v>
      </c>
      <c r="L86" s="813">
        <f t="shared" si="18"/>
        <v>11.02</v>
      </c>
      <c r="M86" s="813">
        <f t="shared" si="18"/>
        <v>12.18</v>
      </c>
      <c r="N86" s="813">
        <f t="shared" si="18"/>
        <v>13.34</v>
      </c>
      <c r="O86" s="813">
        <f t="shared" si="18"/>
        <v>14.499999999999998</v>
      </c>
      <c r="P86" s="813">
        <f t="shared" si="18"/>
        <v>15.659999999999998</v>
      </c>
      <c r="Q86" s="813">
        <f t="shared" si="18"/>
        <v>16.82</v>
      </c>
      <c r="R86" s="813">
        <f t="shared" si="18"/>
        <v>17.98</v>
      </c>
      <c r="S86" s="813">
        <f t="shared" si="18"/>
        <v>19.139999999999997</v>
      </c>
      <c r="T86" s="813">
        <f t="shared" si="18"/>
        <v>20.299999999999997</v>
      </c>
      <c r="U86" s="813">
        <f t="shared" si="18"/>
        <v>21.459999999999997</v>
      </c>
      <c r="V86" s="813">
        <f t="shared" si="18"/>
        <v>22.619999999999997</v>
      </c>
      <c r="W86" s="813">
        <f t="shared" si="18"/>
        <v>23.779999999999998</v>
      </c>
    </row>
    <row r="87" spans="1:23" ht="15" thickBot="1" x14ac:dyDescent="0.4">
      <c r="A87" s="812"/>
      <c r="B87" s="545"/>
      <c r="C87" s="893" t="s">
        <v>1375</v>
      </c>
      <c r="D87" s="894"/>
      <c r="E87" s="894"/>
      <c r="F87" s="894"/>
      <c r="G87" s="894"/>
      <c r="H87" s="894"/>
      <c r="I87" s="894"/>
      <c r="J87" s="894"/>
      <c r="K87" s="894"/>
      <c r="L87" s="894"/>
      <c r="M87" s="894"/>
      <c r="N87" s="894"/>
      <c r="O87" s="894"/>
      <c r="P87" s="894"/>
      <c r="Q87" s="894"/>
      <c r="R87" s="894"/>
      <c r="S87" s="894"/>
      <c r="T87" s="894"/>
      <c r="U87" s="894"/>
      <c r="V87" s="894"/>
      <c r="W87" s="895"/>
    </row>
    <row r="88" spans="1:23" x14ac:dyDescent="0.35">
      <c r="V88" s="725" t="s">
        <v>84</v>
      </c>
      <c r="W88" s="355">
        <f>SUM(C66:W85)</f>
        <v>99.827696484747221</v>
      </c>
    </row>
    <row r="90" spans="1:23" x14ac:dyDescent="0.35">
      <c r="A90" s="725" t="s">
        <v>1379</v>
      </c>
    </row>
    <row r="91" spans="1:23" ht="15" thickBot="1" x14ac:dyDescent="0.4"/>
    <row r="92" spans="1:23" ht="15" thickBot="1" x14ac:dyDescent="0.4">
      <c r="A92" s="896"/>
      <c r="B92" s="897"/>
      <c r="C92" s="893" t="s">
        <v>1373</v>
      </c>
      <c r="D92" s="894"/>
      <c r="E92" s="894"/>
      <c r="F92" s="894"/>
      <c r="G92" s="894"/>
      <c r="H92" s="894"/>
      <c r="I92" s="894"/>
      <c r="J92" s="894"/>
      <c r="K92" s="894"/>
      <c r="L92" s="894"/>
      <c r="M92" s="894"/>
      <c r="N92" s="894"/>
      <c r="O92" s="894"/>
      <c r="P92" s="894"/>
      <c r="Q92" s="894"/>
      <c r="R92" s="894"/>
      <c r="S92" s="894"/>
      <c r="T92" s="894"/>
      <c r="U92" s="894"/>
      <c r="V92" s="894"/>
      <c r="W92" s="895"/>
    </row>
    <row r="93" spans="1:23" ht="15" thickBot="1" x14ac:dyDescent="0.4">
      <c r="A93" s="898"/>
      <c r="B93" s="899"/>
      <c r="C93" s="798">
        <v>0.5</v>
      </c>
      <c r="D93" s="799">
        <f>C93+1</f>
        <v>1.5</v>
      </c>
      <c r="E93" s="799">
        <f t="shared" ref="E93" si="19">D93+1</f>
        <v>2.5</v>
      </c>
      <c r="F93" s="799">
        <f>E93+1</f>
        <v>3.5</v>
      </c>
      <c r="G93" s="799">
        <f t="shared" ref="G93:W93" si="20">F93+1</f>
        <v>4.5</v>
      </c>
      <c r="H93" s="799">
        <f t="shared" si="20"/>
        <v>5.5</v>
      </c>
      <c r="I93" s="799">
        <f t="shared" si="20"/>
        <v>6.5</v>
      </c>
      <c r="J93" s="799">
        <f t="shared" si="20"/>
        <v>7.5</v>
      </c>
      <c r="K93" s="799">
        <f t="shared" si="20"/>
        <v>8.5</v>
      </c>
      <c r="L93" s="799">
        <f t="shared" si="20"/>
        <v>9.5</v>
      </c>
      <c r="M93" s="799">
        <f t="shared" si="20"/>
        <v>10.5</v>
      </c>
      <c r="N93" s="799">
        <f t="shared" si="20"/>
        <v>11.5</v>
      </c>
      <c r="O93" s="799">
        <f t="shared" si="20"/>
        <v>12.5</v>
      </c>
      <c r="P93" s="799">
        <f t="shared" si="20"/>
        <v>13.5</v>
      </c>
      <c r="Q93" s="799">
        <f t="shared" si="20"/>
        <v>14.5</v>
      </c>
      <c r="R93" s="799">
        <f t="shared" si="20"/>
        <v>15.5</v>
      </c>
      <c r="S93" s="799">
        <f t="shared" si="20"/>
        <v>16.5</v>
      </c>
      <c r="T93" s="799">
        <f t="shared" si="20"/>
        <v>17.5</v>
      </c>
      <c r="U93" s="799">
        <f t="shared" si="20"/>
        <v>18.5</v>
      </c>
      <c r="V93" s="799">
        <f t="shared" si="20"/>
        <v>19.5</v>
      </c>
      <c r="W93" s="800">
        <f t="shared" si="20"/>
        <v>20.5</v>
      </c>
    </row>
    <row r="94" spans="1:23" x14ac:dyDescent="0.35">
      <c r="A94" s="900" t="s">
        <v>1374</v>
      </c>
      <c r="B94" s="801">
        <v>0.25</v>
      </c>
      <c r="C94" s="815">
        <f>C38*C66</f>
        <v>0</v>
      </c>
      <c r="D94" s="816">
        <f t="shared" ref="D94:W94" si="21">D38*D66</f>
        <v>0</v>
      </c>
      <c r="E94" s="816">
        <f t="shared" si="21"/>
        <v>0</v>
      </c>
      <c r="F94" s="816">
        <f t="shared" si="21"/>
        <v>0</v>
      </c>
      <c r="G94" s="816">
        <f t="shared" si="21"/>
        <v>0</v>
      </c>
      <c r="H94" s="816">
        <f t="shared" si="21"/>
        <v>0</v>
      </c>
      <c r="I94" s="816">
        <f t="shared" si="21"/>
        <v>0</v>
      </c>
      <c r="J94" s="816">
        <f t="shared" si="21"/>
        <v>0.14529781816488324</v>
      </c>
      <c r="K94" s="816">
        <f t="shared" si="21"/>
        <v>0.37006755462782326</v>
      </c>
      <c r="L94" s="816">
        <f t="shared" si="21"/>
        <v>0</v>
      </c>
      <c r="M94" s="816">
        <f t="shared" si="21"/>
        <v>0</v>
      </c>
      <c r="N94" s="816">
        <f t="shared" si="21"/>
        <v>0</v>
      </c>
      <c r="O94" s="816">
        <f t="shared" si="21"/>
        <v>0</v>
      </c>
      <c r="P94" s="816">
        <f t="shared" si="21"/>
        <v>0</v>
      </c>
      <c r="Q94" s="816">
        <f t="shared" si="21"/>
        <v>0</v>
      </c>
      <c r="R94" s="816">
        <f t="shared" si="21"/>
        <v>0</v>
      </c>
      <c r="S94" s="816">
        <f t="shared" si="21"/>
        <v>0</v>
      </c>
      <c r="T94" s="816">
        <f t="shared" si="21"/>
        <v>0</v>
      </c>
      <c r="U94" s="816">
        <f t="shared" si="21"/>
        <v>0</v>
      </c>
      <c r="V94" s="816">
        <f t="shared" si="21"/>
        <v>0</v>
      </c>
      <c r="W94" s="817">
        <f t="shared" si="21"/>
        <v>0</v>
      </c>
    </row>
    <row r="95" spans="1:23" x14ac:dyDescent="0.35">
      <c r="A95" s="901"/>
      <c r="B95" s="805">
        <f>B94+0.5</f>
        <v>0.75</v>
      </c>
      <c r="C95" s="818">
        <f t="shared" ref="C95:W107" si="22">C39*C67</f>
        <v>0</v>
      </c>
      <c r="D95" s="819">
        <f t="shared" si="22"/>
        <v>0</v>
      </c>
      <c r="E95" s="819">
        <f t="shared" si="22"/>
        <v>0</v>
      </c>
      <c r="F95" s="819">
        <f t="shared" si="22"/>
        <v>0</v>
      </c>
      <c r="G95" s="819">
        <f t="shared" si="22"/>
        <v>0.10486716287022663</v>
      </c>
      <c r="H95" s="819">
        <f t="shared" si="22"/>
        <v>6.1636689617095257</v>
      </c>
      <c r="I95" s="819">
        <f t="shared" si="22"/>
        <v>39.399742694272561</v>
      </c>
      <c r="J95" s="819">
        <f t="shared" si="22"/>
        <v>97.91536653585699</v>
      </c>
      <c r="K95" s="819">
        <f t="shared" si="22"/>
        <v>79.244649493109151</v>
      </c>
      <c r="L95" s="819">
        <f t="shared" si="22"/>
        <v>48.511617116951662</v>
      </c>
      <c r="M95" s="819">
        <f t="shared" si="22"/>
        <v>24.034828208499476</v>
      </c>
      <c r="N95" s="819">
        <f t="shared" si="22"/>
        <v>7.7378345521932079</v>
      </c>
      <c r="O95" s="819">
        <f t="shared" si="22"/>
        <v>0.70715392560353973</v>
      </c>
      <c r="P95" s="819">
        <f t="shared" si="22"/>
        <v>0</v>
      </c>
      <c r="Q95" s="819">
        <f t="shared" si="22"/>
        <v>0</v>
      </c>
      <c r="R95" s="819">
        <f t="shared" si="22"/>
        <v>0</v>
      </c>
      <c r="S95" s="819">
        <f t="shared" si="22"/>
        <v>0</v>
      </c>
      <c r="T95" s="819">
        <f t="shared" si="22"/>
        <v>0</v>
      </c>
      <c r="U95" s="819">
        <f t="shared" si="22"/>
        <v>0</v>
      </c>
      <c r="V95" s="819">
        <f t="shared" si="22"/>
        <v>0</v>
      </c>
      <c r="W95" s="820">
        <f t="shared" si="22"/>
        <v>0</v>
      </c>
    </row>
    <row r="96" spans="1:23" x14ac:dyDescent="0.35">
      <c r="A96" s="901"/>
      <c r="B96" s="805">
        <f t="shared" ref="B96:B113" si="23">B95+0.5</f>
        <v>1.25</v>
      </c>
      <c r="C96" s="818">
        <f t="shared" si="22"/>
        <v>0</v>
      </c>
      <c r="D96" s="819">
        <f t="shared" si="22"/>
        <v>0</v>
      </c>
      <c r="E96" s="819">
        <f t="shared" si="22"/>
        <v>0</v>
      </c>
      <c r="F96" s="819">
        <f t="shared" si="22"/>
        <v>0</v>
      </c>
      <c r="G96" s="819">
        <f t="shared" si="22"/>
        <v>0.20561677707536499</v>
      </c>
      <c r="H96" s="819">
        <f t="shared" si="22"/>
        <v>21.952324503110965</v>
      </c>
      <c r="I96" s="819">
        <f t="shared" si="22"/>
        <v>231.77651197781276</v>
      </c>
      <c r="J96" s="819">
        <f t="shared" si="22"/>
        <v>381.75175661311368</v>
      </c>
      <c r="K96" s="819">
        <f t="shared" si="22"/>
        <v>337.2056360726051</v>
      </c>
      <c r="L96" s="819">
        <f t="shared" si="22"/>
        <v>212.77205196583796</v>
      </c>
      <c r="M96" s="819">
        <f t="shared" si="22"/>
        <v>100.99630117012214</v>
      </c>
      <c r="N96" s="819">
        <f t="shared" si="22"/>
        <v>52.987365371580964</v>
      </c>
      <c r="O96" s="819">
        <f t="shared" si="22"/>
        <v>25.527515969479477</v>
      </c>
      <c r="P96" s="819">
        <f t="shared" si="22"/>
        <v>5.2388398538619088</v>
      </c>
      <c r="Q96" s="819">
        <f t="shared" si="22"/>
        <v>1.3917500703457293</v>
      </c>
      <c r="R96" s="819">
        <f t="shared" si="22"/>
        <v>1.2536705877277119</v>
      </c>
      <c r="S96" s="819">
        <f t="shared" si="22"/>
        <v>0</v>
      </c>
      <c r="T96" s="819">
        <f t="shared" si="22"/>
        <v>0</v>
      </c>
      <c r="U96" s="819">
        <f t="shared" si="22"/>
        <v>0</v>
      </c>
      <c r="V96" s="819">
        <f t="shared" si="22"/>
        <v>0</v>
      </c>
      <c r="W96" s="820">
        <f t="shared" si="22"/>
        <v>0</v>
      </c>
    </row>
    <row r="97" spans="1:23" x14ac:dyDescent="0.35">
      <c r="A97" s="901"/>
      <c r="B97" s="805">
        <f t="shared" si="23"/>
        <v>1.75</v>
      </c>
      <c r="C97" s="818">
        <f t="shared" si="22"/>
        <v>0</v>
      </c>
      <c r="D97" s="819">
        <f t="shared" si="22"/>
        <v>0</v>
      </c>
      <c r="E97" s="819">
        <f t="shared" si="22"/>
        <v>0</v>
      </c>
      <c r="F97" s="819">
        <f t="shared" si="22"/>
        <v>0</v>
      </c>
      <c r="G97" s="819">
        <f t="shared" si="22"/>
        <v>0</v>
      </c>
      <c r="H97" s="819">
        <f t="shared" si="22"/>
        <v>7.5660965555793656</v>
      </c>
      <c r="I97" s="819">
        <f t="shared" si="22"/>
        <v>290.42768067594881</v>
      </c>
      <c r="J97" s="819">
        <f t="shared" si="22"/>
        <v>527.7080793814755</v>
      </c>
      <c r="K97" s="819">
        <f t="shared" si="22"/>
        <v>510.1658441408216</v>
      </c>
      <c r="L97" s="819">
        <f t="shared" si="22"/>
        <v>442.58288290020226</v>
      </c>
      <c r="M97" s="819">
        <f t="shared" si="22"/>
        <v>240.75606748323486</v>
      </c>
      <c r="N97" s="819">
        <f t="shared" si="22"/>
        <v>139.95587825386897</v>
      </c>
      <c r="O97" s="819">
        <f t="shared" si="22"/>
        <v>85.089183875404629</v>
      </c>
      <c r="P97" s="819">
        <f t="shared" si="22"/>
        <v>34.089596132379732</v>
      </c>
      <c r="Q97" s="819">
        <f t="shared" si="22"/>
        <v>10.464319572392785</v>
      </c>
      <c r="R97" s="819">
        <f t="shared" si="22"/>
        <v>3.011769011909001</v>
      </c>
      <c r="S97" s="819">
        <f t="shared" si="22"/>
        <v>0</v>
      </c>
      <c r="T97" s="819">
        <f t="shared" si="22"/>
        <v>0</v>
      </c>
      <c r="U97" s="819">
        <f t="shared" si="22"/>
        <v>0</v>
      </c>
      <c r="V97" s="819">
        <f t="shared" si="22"/>
        <v>0</v>
      </c>
      <c r="W97" s="820">
        <f t="shared" si="22"/>
        <v>0</v>
      </c>
    </row>
    <row r="98" spans="1:23" x14ac:dyDescent="0.35">
      <c r="A98" s="901"/>
      <c r="B98" s="805">
        <f t="shared" si="23"/>
        <v>2.25</v>
      </c>
      <c r="C98" s="818">
        <f t="shared" si="22"/>
        <v>0</v>
      </c>
      <c r="D98" s="819">
        <f t="shared" si="22"/>
        <v>0</v>
      </c>
      <c r="E98" s="819">
        <f t="shared" si="22"/>
        <v>0</v>
      </c>
      <c r="F98" s="819">
        <f t="shared" si="22"/>
        <v>0</v>
      </c>
      <c r="G98" s="819">
        <f t="shared" si="22"/>
        <v>0</v>
      </c>
      <c r="H98" s="819">
        <f t="shared" si="22"/>
        <v>0</v>
      </c>
      <c r="I98" s="819">
        <f t="shared" si="22"/>
        <v>112.15797769607049</v>
      </c>
      <c r="J98" s="819">
        <f t="shared" si="22"/>
        <v>724.19092847912532</v>
      </c>
      <c r="K98" s="819">
        <f t="shared" si="22"/>
        <v>537.16511723913902</v>
      </c>
      <c r="L98" s="819">
        <f t="shared" si="22"/>
        <v>613.97829243092167</v>
      </c>
      <c r="M98" s="819">
        <f t="shared" si="22"/>
        <v>429.491212048308</v>
      </c>
      <c r="N98" s="819">
        <f t="shared" si="22"/>
        <v>194.505230878221</v>
      </c>
      <c r="O98" s="819">
        <f t="shared" si="22"/>
        <v>122.97483759930347</v>
      </c>
      <c r="P98" s="819">
        <f t="shared" si="22"/>
        <v>60.743013230241083</v>
      </c>
      <c r="Q98" s="819">
        <f t="shared" si="22"/>
        <v>27.980519751858186</v>
      </c>
      <c r="R98" s="819">
        <f t="shared" si="22"/>
        <v>10.32150669525706</v>
      </c>
      <c r="S98" s="819">
        <f t="shared" si="22"/>
        <v>2.5790518004649901</v>
      </c>
      <c r="T98" s="819">
        <f t="shared" si="22"/>
        <v>0</v>
      </c>
      <c r="U98" s="819">
        <f t="shared" si="22"/>
        <v>0</v>
      </c>
      <c r="V98" s="819">
        <f t="shared" si="22"/>
        <v>0</v>
      </c>
      <c r="W98" s="820">
        <f t="shared" si="22"/>
        <v>0</v>
      </c>
    </row>
    <row r="99" spans="1:23" x14ac:dyDescent="0.35">
      <c r="A99" s="901"/>
      <c r="B99" s="805">
        <f t="shared" si="23"/>
        <v>2.75</v>
      </c>
      <c r="C99" s="818">
        <f t="shared" si="22"/>
        <v>0</v>
      </c>
      <c r="D99" s="819">
        <f t="shared" si="22"/>
        <v>0</v>
      </c>
      <c r="E99" s="819">
        <f t="shared" si="22"/>
        <v>0</v>
      </c>
      <c r="F99" s="819">
        <f t="shared" si="22"/>
        <v>0</v>
      </c>
      <c r="G99" s="819">
        <f t="shared" si="22"/>
        <v>0</v>
      </c>
      <c r="H99" s="819">
        <f t="shared" si="22"/>
        <v>0</v>
      </c>
      <c r="I99" s="819">
        <f t="shared" si="22"/>
        <v>21.377330227396754</v>
      </c>
      <c r="J99" s="819">
        <f t="shared" si="22"/>
        <v>422.86859648680917</v>
      </c>
      <c r="K99" s="819">
        <f t="shared" si="22"/>
        <v>473.91383029825846</v>
      </c>
      <c r="L99" s="819">
        <f t="shared" si="22"/>
        <v>519.76192454368811</v>
      </c>
      <c r="M99" s="819">
        <f t="shared" si="22"/>
        <v>529.52004057641398</v>
      </c>
      <c r="N99" s="819">
        <f t="shared" si="22"/>
        <v>288.23257955804434</v>
      </c>
      <c r="O99" s="819">
        <f t="shared" si="22"/>
        <v>143.68640918385472</v>
      </c>
      <c r="P99" s="819">
        <f t="shared" si="22"/>
        <v>56.264666055128203</v>
      </c>
      <c r="Q99" s="819">
        <f t="shared" si="22"/>
        <v>25.209809476459068</v>
      </c>
      <c r="R99" s="819">
        <f t="shared" si="22"/>
        <v>9.4359466798303195</v>
      </c>
      <c r="S99" s="819">
        <f t="shared" si="22"/>
        <v>2.9664805410504687</v>
      </c>
      <c r="T99" s="819">
        <f t="shared" si="22"/>
        <v>0</v>
      </c>
      <c r="U99" s="819">
        <f t="shared" si="22"/>
        <v>0</v>
      </c>
      <c r="V99" s="819">
        <f t="shared" si="22"/>
        <v>0</v>
      </c>
      <c r="W99" s="820">
        <f t="shared" si="22"/>
        <v>0</v>
      </c>
    </row>
    <row r="100" spans="1:23" x14ac:dyDescent="0.35">
      <c r="A100" s="901"/>
      <c r="B100" s="805">
        <f t="shared" si="23"/>
        <v>3.25</v>
      </c>
      <c r="C100" s="818">
        <f t="shared" si="22"/>
        <v>0</v>
      </c>
      <c r="D100" s="819">
        <f t="shared" si="22"/>
        <v>0</v>
      </c>
      <c r="E100" s="819">
        <f t="shared" si="22"/>
        <v>0</v>
      </c>
      <c r="F100" s="819">
        <f t="shared" si="22"/>
        <v>0</v>
      </c>
      <c r="G100" s="819">
        <f t="shared" si="22"/>
        <v>0</v>
      </c>
      <c r="H100" s="819">
        <f t="shared" si="22"/>
        <v>0</v>
      </c>
      <c r="I100" s="819">
        <f t="shared" si="22"/>
        <v>0</v>
      </c>
      <c r="J100" s="819">
        <f t="shared" si="22"/>
        <v>93.913877032059204</v>
      </c>
      <c r="K100" s="819">
        <f t="shared" si="22"/>
        <v>338.50381280474767</v>
      </c>
      <c r="L100" s="819">
        <f t="shared" si="22"/>
        <v>324.66706705479697</v>
      </c>
      <c r="M100" s="819">
        <f t="shared" si="22"/>
        <v>435.7525498467287</v>
      </c>
      <c r="N100" s="819">
        <f t="shared" si="22"/>
        <v>312.29206260877572</v>
      </c>
      <c r="O100" s="819">
        <f t="shared" si="22"/>
        <v>170.09688807135981</v>
      </c>
      <c r="P100" s="819">
        <f t="shared" si="22"/>
        <v>67.327045762442907</v>
      </c>
      <c r="Q100" s="819">
        <f t="shared" si="22"/>
        <v>22.173272834920859</v>
      </c>
      <c r="R100" s="819">
        <f t="shared" si="22"/>
        <v>8.1000935778975407</v>
      </c>
      <c r="S100" s="819">
        <f t="shared" si="22"/>
        <v>3.782245865219346</v>
      </c>
      <c r="T100" s="819">
        <f t="shared" si="22"/>
        <v>2.177511945470548</v>
      </c>
      <c r="U100" s="819">
        <f t="shared" si="22"/>
        <v>1.8600633750468905</v>
      </c>
      <c r="V100" s="819">
        <f t="shared" si="22"/>
        <v>0</v>
      </c>
      <c r="W100" s="820">
        <f t="shared" si="22"/>
        <v>0</v>
      </c>
    </row>
    <row r="101" spans="1:23" x14ac:dyDescent="0.35">
      <c r="A101" s="901"/>
      <c r="B101" s="805">
        <f t="shared" si="23"/>
        <v>3.75</v>
      </c>
      <c r="C101" s="818">
        <f t="shared" si="22"/>
        <v>0</v>
      </c>
      <c r="D101" s="819">
        <f t="shared" si="22"/>
        <v>0</v>
      </c>
      <c r="E101" s="819">
        <f t="shared" si="22"/>
        <v>0</v>
      </c>
      <c r="F101" s="819">
        <f t="shared" si="22"/>
        <v>0</v>
      </c>
      <c r="G101" s="819">
        <f t="shared" si="22"/>
        <v>0</v>
      </c>
      <c r="H101" s="819">
        <f t="shared" si="22"/>
        <v>0</v>
      </c>
      <c r="I101" s="819">
        <f t="shared" si="22"/>
        <v>0</v>
      </c>
      <c r="J101" s="819">
        <f t="shared" si="22"/>
        <v>11.99154505745342</v>
      </c>
      <c r="K101" s="819">
        <f t="shared" si="22"/>
        <v>125.95977451221165</v>
      </c>
      <c r="L101" s="819">
        <f t="shared" si="22"/>
        <v>162.09714995739964</v>
      </c>
      <c r="M101" s="819">
        <f t="shared" si="22"/>
        <v>278.9630095419493</v>
      </c>
      <c r="N101" s="819">
        <f t="shared" si="22"/>
        <v>257.64313656699079</v>
      </c>
      <c r="O101" s="819">
        <f t="shared" si="22"/>
        <v>157.32473880979933</v>
      </c>
      <c r="P101" s="819">
        <f t="shared" si="22"/>
        <v>71.489705979185544</v>
      </c>
      <c r="Q101" s="819">
        <f t="shared" si="22"/>
        <v>24.484654082071089</v>
      </c>
      <c r="R101" s="819">
        <f t="shared" si="22"/>
        <v>11.224755426013404</v>
      </c>
      <c r="S101" s="819">
        <f t="shared" si="22"/>
        <v>4.0972991638380272</v>
      </c>
      <c r="T101" s="819">
        <f t="shared" si="22"/>
        <v>0</v>
      </c>
      <c r="U101" s="819">
        <f t="shared" si="22"/>
        <v>0</v>
      </c>
      <c r="V101" s="819">
        <f t="shared" si="22"/>
        <v>0</v>
      </c>
      <c r="W101" s="820">
        <f t="shared" si="22"/>
        <v>0</v>
      </c>
    </row>
    <row r="102" spans="1:23" x14ac:dyDescent="0.35">
      <c r="A102" s="901"/>
      <c r="B102" s="805">
        <f t="shared" si="23"/>
        <v>4.25</v>
      </c>
      <c r="C102" s="818">
        <f t="shared" si="22"/>
        <v>0</v>
      </c>
      <c r="D102" s="819">
        <f t="shared" si="22"/>
        <v>0</v>
      </c>
      <c r="E102" s="819">
        <f t="shared" si="22"/>
        <v>0</v>
      </c>
      <c r="F102" s="819">
        <f t="shared" si="22"/>
        <v>0</v>
      </c>
      <c r="G102" s="819">
        <f t="shared" si="22"/>
        <v>0</v>
      </c>
      <c r="H102" s="819">
        <f t="shared" si="22"/>
        <v>0</v>
      </c>
      <c r="I102" s="819">
        <f t="shared" si="22"/>
        <v>0</v>
      </c>
      <c r="J102" s="819">
        <f t="shared" si="22"/>
        <v>0</v>
      </c>
      <c r="K102" s="819">
        <f t="shared" si="22"/>
        <v>27.648461921988559</v>
      </c>
      <c r="L102" s="819">
        <f t="shared" si="22"/>
        <v>61.531349087238759</v>
      </c>
      <c r="M102" s="819">
        <f t="shared" si="22"/>
        <v>132.85820097786882</v>
      </c>
      <c r="N102" s="819">
        <f t="shared" si="22"/>
        <v>163.30473627816454</v>
      </c>
      <c r="O102" s="819">
        <f t="shared" si="22"/>
        <v>119.08055082009299</v>
      </c>
      <c r="P102" s="819">
        <f t="shared" si="22"/>
        <v>59.202350852435821</v>
      </c>
      <c r="Q102" s="819">
        <f t="shared" si="22"/>
        <v>18.593904657153093</v>
      </c>
      <c r="R102" s="819">
        <f t="shared" si="22"/>
        <v>6.2208050841158098</v>
      </c>
      <c r="S102" s="819">
        <f t="shared" si="22"/>
        <v>5.3344379248512546</v>
      </c>
      <c r="T102" s="819">
        <f t="shared" si="22"/>
        <v>0</v>
      </c>
      <c r="U102" s="819">
        <f t="shared" si="22"/>
        <v>0</v>
      </c>
      <c r="V102" s="819">
        <f t="shared" si="22"/>
        <v>0</v>
      </c>
      <c r="W102" s="820">
        <f t="shared" si="22"/>
        <v>0</v>
      </c>
    </row>
    <row r="103" spans="1:23" x14ac:dyDescent="0.35">
      <c r="A103" s="901"/>
      <c r="B103" s="805">
        <f t="shared" si="23"/>
        <v>4.75</v>
      </c>
      <c r="C103" s="818">
        <f t="shared" si="22"/>
        <v>0</v>
      </c>
      <c r="D103" s="819">
        <f t="shared" si="22"/>
        <v>0</v>
      </c>
      <c r="E103" s="819">
        <f t="shared" si="22"/>
        <v>0</v>
      </c>
      <c r="F103" s="819">
        <f t="shared" si="22"/>
        <v>0</v>
      </c>
      <c r="G103" s="819">
        <f t="shared" si="22"/>
        <v>0</v>
      </c>
      <c r="H103" s="819">
        <f t="shared" si="22"/>
        <v>0</v>
      </c>
      <c r="I103" s="819">
        <f t="shared" si="22"/>
        <v>0</v>
      </c>
      <c r="J103" s="819">
        <f t="shared" si="22"/>
        <v>0</v>
      </c>
      <c r="K103" s="819">
        <f t="shared" si="22"/>
        <v>6.5001847370809349</v>
      </c>
      <c r="L103" s="819">
        <f t="shared" si="22"/>
        <v>27.285279242721124</v>
      </c>
      <c r="M103" s="819">
        <f t="shared" si="22"/>
        <v>40.409037196694129</v>
      </c>
      <c r="N103" s="819">
        <f t="shared" si="22"/>
        <v>86.686062499237835</v>
      </c>
      <c r="O103" s="819">
        <f t="shared" si="22"/>
        <v>85.631433708768014</v>
      </c>
      <c r="P103" s="819">
        <f t="shared" si="22"/>
        <v>58.703819953745118</v>
      </c>
      <c r="Q103" s="819">
        <f t="shared" si="22"/>
        <v>22.07602747311067</v>
      </c>
      <c r="R103" s="819">
        <f t="shared" si="22"/>
        <v>6.983499775742029</v>
      </c>
      <c r="S103" s="819">
        <f t="shared" si="22"/>
        <v>2.9946987088193824</v>
      </c>
      <c r="T103" s="819">
        <f t="shared" si="22"/>
        <v>0</v>
      </c>
      <c r="U103" s="819">
        <f t="shared" si="22"/>
        <v>0</v>
      </c>
      <c r="V103" s="819">
        <f t="shared" si="22"/>
        <v>0</v>
      </c>
      <c r="W103" s="820">
        <f t="shared" si="22"/>
        <v>0</v>
      </c>
    </row>
    <row r="104" spans="1:23" x14ac:dyDescent="0.35">
      <c r="A104" s="901"/>
      <c r="B104" s="805">
        <f t="shared" si="23"/>
        <v>5.25</v>
      </c>
      <c r="C104" s="818">
        <f t="shared" si="22"/>
        <v>0</v>
      </c>
      <c r="D104" s="819">
        <f t="shared" si="22"/>
        <v>0</v>
      </c>
      <c r="E104" s="819">
        <f t="shared" si="22"/>
        <v>0</v>
      </c>
      <c r="F104" s="819">
        <f t="shared" si="22"/>
        <v>0</v>
      </c>
      <c r="G104" s="819">
        <f t="shared" si="22"/>
        <v>0</v>
      </c>
      <c r="H104" s="819">
        <f t="shared" si="22"/>
        <v>0</v>
      </c>
      <c r="I104" s="819">
        <f t="shared" si="22"/>
        <v>0</v>
      </c>
      <c r="J104" s="819">
        <f t="shared" si="22"/>
        <v>0</v>
      </c>
      <c r="K104" s="819">
        <f t="shared" si="22"/>
        <v>0</v>
      </c>
      <c r="L104" s="819">
        <f t="shared" si="22"/>
        <v>10.118968731503887</v>
      </c>
      <c r="M104" s="819">
        <f t="shared" si="22"/>
        <v>10.142414917011941</v>
      </c>
      <c r="N104" s="819">
        <f t="shared" si="22"/>
        <v>38.62825164898539</v>
      </c>
      <c r="O104" s="819">
        <f t="shared" si="22"/>
        <v>54.10866127677069</v>
      </c>
      <c r="P104" s="819">
        <f t="shared" si="22"/>
        <v>45.578405815033328</v>
      </c>
      <c r="Q104" s="819">
        <f t="shared" si="22"/>
        <v>24.046411478296335</v>
      </c>
      <c r="R104" s="819">
        <f t="shared" si="22"/>
        <v>6.8873317015509521</v>
      </c>
      <c r="S104" s="819">
        <f t="shared" si="22"/>
        <v>0</v>
      </c>
      <c r="T104" s="819">
        <f t="shared" si="22"/>
        <v>0</v>
      </c>
      <c r="U104" s="819">
        <f t="shared" si="22"/>
        <v>0</v>
      </c>
      <c r="V104" s="819">
        <f t="shared" si="22"/>
        <v>0</v>
      </c>
      <c r="W104" s="820">
        <f t="shared" si="22"/>
        <v>0</v>
      </c>
    </row>
    <row r="105" spans="1:23" x14ac:dyDescent="0.35">
      <c r="A105" s="901"/>
      <c r="B105" s="805">
        <f t="shared" si="23"/>
        <v>5.75</v>
      </c>
      <c r="C105" s="818">
        <f t="shared" si="22"/>
        <v>0</v>
      </c>
      <c r="D105" s="819">
        <f t="shared" si="22"/>
        <v>0</v>
      </c>
      <c r="E105" s="819">
        <f t="shared" si="22"/>
        <v>0</v>
      </c>
      <c r="F105" s="819">
        <f t="shared" si="22"/>
        <v>0</v>
      </c>
      <c r="G105" s="819">
        <f t="shared" si="22"/>
        <v>0</v>
      </c>
      <c r="H105" s="819">
        <f t="shared" si="22"/>
        <v>0</v>
      </c>
      <c r="I105" s="819">
        <f t="shared" si="22"/>
        <v>0</v>
      </c>
      <c r="J105" s="819">
        <f t="shared" si="22"/>
        <v>0</v>
      </c>
      <c r="K105" s="819">
        <f t="shared" si="22"/>
        <v>0</v>
      </c>
      <c r="L105" s="819">
        <f t="shared" si="22"/>
        <v>0</v>
      </c>
      <c r="M105" s="819">
        <f t="shared" si="22"/>
        <v>0</v>
      </c>
      <c r="N105" s="819">
        <f t="shared" si="22"/>
        <v>8.9213631936154574</v>
      </c>
      <c r="O105" s="819">
        <f t="shared" si="22"/>
        <v>28.745273425312789</v>
      </c>
      <c r="P105" s="819">
        <f t="shared" si="22"/>
        <v>21.048881924692974</v>
      </c>
      <c r="Q105" s="819">
        <f t="shared" si="22"/>
        <v>17.126450956179497</v>
      </c>
      <c r="R105" s="819">
        <f t="shared" si="22"/>
        <v>6.6225034295658087</v>
      </c>
      <c r="S105" s="819">
        <f t="shared" si="22"/>
        <v>0</v>
      </c>
      <c r="T105" s="819">
        <f t="shared" si="22"/>
        <v>0</v>
      </c>
      <c r="U105" s="819">
        <f t="shared" si="22"/>
        <v>0</v>
      </c>
      <c r="V105" s="819">
        <f t="shared" si="22"/>
        <v>0</v>
      </c>
      <c r="W105" s="820">
        <f t="shared" si="22"/>
        <v>0</v>
      </c>
    </row>
    <row r="106" spans="1:23" x14ac:dyDescent="0.35">
      <c r="A106" s="901"/>
      <c r="B106" s="805">
        <f t="shared" si="23"/>
        <v>6.25</v>
      </c>
      <c r="C106" s="818">
        <f t="shared" si="22"/>
        <v>0</v>
      </c>
      <c r="D106" s="819">
        <f t="shared" si="22"/>
        <v>0</v>
      </c>
      <c r="E106" s="819">
        <f t="shared" si="22"/>
        <v>0</v>
      </c>
      <c r="F106" s="819">
        <f t="shared" si="22"/>
        <v>0</v>
      </c>
      <c r="G106" s="819">
        <f t="shared" si="22"/>
        <v>0</v>
      </c>
      <c r="H106" s="819">
        <f t="shared" si="22"/>
        <v>0</v>
      </c>
      <c r="I106" s="819">
        <f t="shared" si="22"/>
        <v>0</v>
      </c>
      <c r="J106" s="819">
        <f t="shared" si="22"/>
        <v>0</v>
      </c>
      <c r="K106" s="819">
        <f t="shared" si="22"/>
        <v>0</v>
      </c>
      <c r="L106" s="819">
        <f t="shared" si="22"/>
        <v>0</v>
      </c>
      <c r="M106" s="819">
        <f t="shared" si="22"/>
        <v>0</v>
      </c>
      <c r="N106" s="819">
        <f t="shared" si="22"/>
        <v>0</v>
      </c>
      <c r="O106" s="819">
        <f t="shared" si="22"/>
        <v>14.006936484107978</v>
      </c>
      <c r="P106" s="819">
        <f t="shared" si="22"/>
        <v>16.946352694326706</v>
      </c>
      <c r="Q106" s="819">
        <f t="shared" si="22"/>
        <v>8.5351919554517952</v>
      </c>
      <c r="R106" s="819">
        <f t="shared" si="22"/>
        <v>4.6412578855866933</v>
      </c>
      <c r="S106" s="819">
        <f t="shared" si="22"/>
        <v>0</v>
      </c>
      <c r="T106" s="819">
        <f t="shared" si="22"/>
        <v>0</v>
      </c>
      <c r="U106" s="819">
        <f t="shared" si="22"/>
        <v>0</v>
      </c>
      <c r="V106" s="819">
        <f t="shared" si="22"/>
        <v>0</v>
      </c>
      <c r="W106" s="820">
        <f t="shared" si="22"/>
        <v>0</v>
      </c>
    </row>
    <row r="107" spans="1:23" x14ac:dyDescent="0.35">
      <c r="A107" s="901"/>
      <c r="B107" s="805">
        <f t="shared" si="23"/>
        <v>6.75</v>
      </c>
      <c r="C107" s="818">
        <f t="shared" si="22"/>
        <v>0</v>
      </c>
      <c r="D107" s="819">
        <f t="shared" si="22"/>
        <v>0</v>
      </c>
      <c r="E107" s="819">
        <f t="shared" si="22"/>
        <v>0</v>
      </c>
      <c r="F107" s="819">
        <f t="shared" ref="F107:W107" si="24">F51*F79</f>
        <v>0</v>
      </c>
      <c r="G107" s="819">
        <f t="shared" si="24"/>
        <v>0</v>
      </c>
      <c r="H107" s="819">
        <f t="shared" si="24"/>
        <v>0</v>
      </c>
      <c r="I107" s="819">
        <f t="shared" si="24"/>
        <v>0</v>
      </c>
      <c r="J107" s="819">
        <f t="shared" si="24"/>
        <v>0</v>
      </c>
      <c r="K107" s="819">
        <f t="shared" si="24"/>
        <v>0</v>
      </c>
      <c r="L107" s="819">
        <f t="shared" si="24"/>
        <v>0</v>
      </c>
      <c r="M107" s="819">
        <f t="shared" si="24"/>
        <v>0</v>
      </c>
      <c r="N107" s="819">
        <f t="shared" si="24"/>
        <v>0</v>
      </c>
      <c r="O107" s="819">
        <f t="shared" si="24"/>
        <v>0</v>
      </c>
      <c r="P107" s="819">
        <f t="shared" si="24"/>
        <v>9.3807439772288603</v>
      </c>
      <c r="Q107" s="819">
        <f t="shared" si="24"/>
        <v>8.0870928016392956</v>
      </c>
      <c r="R107" s="819">
        <f t="shared" si="24"/>
        <v>0</v>
      </c>
      <c r="S107" s="819">
        <f t="shared" si="24"/>
        <v>0</v>
      </c>
      <c r="T107" s="819">
        <f t="shared" si="24"/>
        <v>0</v>
      </c>
      <c r="U107" s="819">
        <f t="shared" si="24"/>
        <v>0</v>
      </c>
      <c r="V107" s="819">
        <f t="shared" si="24"/>
        <v>0</v>
      </c>
      <c r="W107" s="820">
        <f t="shared" si="24"/>
        <v>0</v>
      </c>
    </row>
    <row r="108" spans="1:23" x14ac:dyDescent="0.35">
      <c r="A108" s="901"/>
      <c r="B108" s="805">
        <f t="shared" si="23"/>
        <v>7.25</v>
      </c>
      <c r="C108" s="818">
        <f t="shared" ref="C108:W113" si="25">C52*C80</f>
        <v>0</v>
      </c>
      <c r="D108" s="819">
        <f t="shared" si="25"/>
        <v>0</v>
      </c>
      <c r="E108" s="819">
        <f t="shared" si="25"/>
        <v>0</v>
      </c>
      <c r="F108" s="819">
        <f t="shared" si="25"/>
        <v>0</v>
      </c>
      <c r="G108" s="819">
        <f t="shared" si="25"/>
        <v>0</v>
      </c>
      <c r="H108" s="819">
        <f t="shared" si="25"/>
        <v>0</v>
      </c>
      <c r="I108" s="819">
        <f t="shared" si="25"/>
        <v>0</v>
      </c>
      <c r="J108" s="819">
        <f t="shared" si="25"/>
        <v>0</v>
      </c>
      <c r="K108" s="819">
        <f t="shared" si="25"/>
        <v>0</v>
      </c>
      <c r="L108" s="819">
        <f t="shared" si="25"/>
        <v>0</v>
      </c>
      <c r="M108" s="819">
        <f t="shared" si="25"/>
        <v>0</v>
      </c>
      <c r="N108" s="819">
        <f t="shared" si="25"/>
        <v>0</v>
      </c>
      <c r="O108" s="819">
        <f t="shared" si="25"/>
        <v>0</v>
      </c>
      <c r="P108" s="819">
        <f t="shared" si="25"/>
        <v>0</v>
      </c>
      <c r="Q108" s="819">
        <f t="shared" si="25"/>
        <v>0</v>
      </c>
      <c r="R108" s="819">
        <f t="shared" si="25"/>
        <v>0</v>
      </c>
      <c r="S108" s="819">
        <f t="shared" si="25"/>
        <v>0</v>
      </c>
      <c r="T108" s="819">
        <f t="shared" si="25"/>
        <v>0</v>
      </c>
      <c r="U108" s="819">
        <f t="shared" si="25"/>
        <v>0</v>
      </c>
      <c r="V108" s="819">
        <f t="shared" si="25"/>
        <v>0</v>
      </c>
      <c r="W108" s="820">
        <f t="shared" si="25"/>
        <v>0</v>
      </c>
    </row>
    <row r="109" spans="1:23" x14ac:dyDescent="0.35">
      <c r="A109" s="901"/>
      <c r="B109" s="805">
        <f t="shared" si="23"/>
        <v>7.75</v>
      </c>
      <c r="C109" s="818">
        <f t="shared" si="25"/>
        <v>0</v>
      </c>
      <c r="D109" s="819">
        <f t="shared" si="25"/>
        <v>0</v>
      </c>
      <c r="E109" s="819">
        <f t="shared" si="25"/>
        <v>0</v>
      </c>
      <c r="F109" s="819">
        <f t="shared" si="25"/>
        <v>0</v>
      </c>
      <c r="G109" s="819">
        <f t="shared" si="25"/>
        <v>0</v>
      </c>
      <c r="H109" s="819">
        <f t="shared" si="25"/>
        <v>0</v>
      </c>
      <c r="I109" s="819">
        <f t="shared" si="25"/>
        <v>0</v>
      </c>
      <c r="J109" s="819">
        <f t="shared" si="25"/>
        <v>0</v>
      </c>
      <c r="K109" s="819">
        <f t="shared" si="25"/>
        <v>0</v>
      </c>
      <c r="L109" s="819">
        <f t="shared" si="25"/>
        <v>0</v>
      </c>
      <c r="M109" s="819">
        <f t="shared" si="25"/>
        <v>0</v>
      </c>
      <c r="N109" s="819">
        <f t="shared" si="25"/>
        <v>0</v>
      </c>
      <c r="O109" s="819">
        <f t="shared" si="25"/>
        <v>0</v>
      </c>
      <c r="P109" s="819">
        <f t="shared" si="25"/>
        <v>0</v>
      </c>
      <c r="Q109" s="819">
        <f t="shared" si="25"/>
        <v>0</v>
      </c>
      <c r="R109" s="819">
        <f t="shared" si="25"/>
        <v>0</v>
      </c>
      <c r="S109" s="819">
        <f t="shared" si="25"/>
        <v>0</v>
      </c>
      <c r="T109" s="819">
        <f t="shared" si="25"/>
        <v>0</v>
      </c>
      <c r="U109" s="819">
        <f t="shared" si="25"/>
        <v>0</v>
      </c>
      <c r="V109" s="819">
        <f t="shared" si="25"/>
        <v>0</v>
      </c>
      <c r="W109" s="820">
        <f t="shared" si="25"/>
        <v>0</v>
      </c>
    </row>
    <row r="110" spans="1:23" x14ac:dyDescent="0.35">
      <c r="A110" s="901"/>
      <c r="B110" s="805">
        <f t="shared" si="23"/>
        <v>8.25</v>
      </c>
      <c r="C110" s="818">
        <f t="shared" si="25"/>
        <v>0</v>
      </c>
      <c r="D110" s="819">
        <f t="shared" si="25"/>
        <v>0</v>
      </c>
      <c r="E110" s="819">
        <f t="shared" si="25"/>
        <v>0</v>
      </c>
      <c r="F110" s="819">
        <f t="shared" si="25"/>
        <v>0</v>
      </c>
      <c r="G110" s="819">
        <f t="shared" si="25"/>
        <v>0</v>
      </c>
      <c r="H110" s="819">
        <f t="shared" si="25"/>
        <v>0</v>
      </c>
      <c r="I110" s="819">
        <f t="shared" si="25"/>
        <v>0</v>
      </c>
      <c r="J110" s="819">
        <f t="shared" si="25"/>
        <v>0</v>
      </c>
      <c r="K110" s="819">
        <f t="shared" si="25"/>
        <v>0</v>
      </c>
      <c r="L110" s="819">
        <f t="shared" si="25"/>
        <v>0</v>
      </c>
      <c r="M110" s="819">
        <f t="shared" si="25"/>
        <v>0</v>
      </c>
      <c r="N110" s="819">
        <f t="shared" si="25"/>
        <v>0</v>
      </c>
      <c r="O110" s="819">
        <f t="shared" si="25"/>
        <v>0</v>
      </c>
      <c r="P110" s="819">
        <f t="shared" si="25"/>
        <v>0</v>
      </c>
      <c r="Q110" s="819">
        <f t="shared" si="25"/>
        <v>0</v>
      </c>
      <c r="R110" s="819">
        <f t="shared" si="25"/>
        <v>0</v>
      </c>
      <c r="S110" s="819">
        <f t="shared" si="25"/>
        <v>0</v>
      </c>
      <c r="T110" s="819">
        <f t="shared" si="25"/>
        <v>0</v>
      </c>
      <c r="U110" s="819">
        <f t="shared" si="25"/>
        <v>0</v>
      </c>
      <c r="V110" s="819">
        <f t="shared" si="25"/>
        <v>0</v>
      </c>
      <c r="W110" s="820">
        <f t="shared" si="25"/>
        <v>0</v>
      </c>
    </row>
    <row r="111" spans="1:23" x14ac:dyDescent="0.35">
      <c r="A111" s="901"/>
      <c r="B111" s="805">
        <f t="shared" si="23"/>
        <v>8.75</v>
      </c>
      <c r="C111" s="818">
        <f t="shared" si="25"/>
        <v>0</v>
      </c>
      <c r="D111" s="819">
        <f t="shared" si="25"/>
        <v>0</v>
      </c>
      <c r="E111" s="819">
        <f t="shared" si="25"/>
        <v>0</v>
      </c>
      <c r="F111" s="819">
        <f t="shared" si="25"/>
        <v>0</v>
      </c>
      <c r="G111" s="819">
        <f t="shared" si="25"/>
        <v>0</v>
      </c>
      <c r="H111" s="819">
        <f t="shared" si="25"/>
        <v>0</v>
      </c>
      <c r="I111" s="819">
        <f t="shared" si="25"/>
        <v>0</v>
      </c>
      <c r="J111" s="819">
        <f t="shared" si="25"/>
        <v>0</v>
      </c>
      <c r="K111" s="819">
        <f t="shared" si="25"/>
        <v>0</v>
      </c>
      <c r="L111" s="819">
        <f t="shared" si="25"/>
        <v>0</v>
      </c>
      <c r="M111" s="819">
        <f t="shared" si="25"/>
        <v>0</v>
      </c>
      <c r="N111" s="819">
        <f t="shared" si="25"/>
        <v>0</v>
      </c>
      <c r="O111" s="819">
        <f t="shared" si="25"/>
        <v>0</v>
      </c>
      <c r="P111" s="819">
        <f t="shared" si="25"/>
        <v>0</v>
      </c>
      <c r="Q111" s="819">
        <f t="shared" si="25"/>
        <v>0</v>
      </c>
      <c r="R111" s="819">
        <f t="shared" si="25"/>
        <v>0</v>
      </c>
      <c r="S111" s="819">
        <f t="shared" si="25"/>
        <v>0</v>
      </c>
      <c r="T111" s="819">
        <f t="shared" si="25"/>
        <v>0</v>
      </c>
      <c r="U111" s="819">
        <f t="shared" si="25"/>
        <v>0</v>
      </c>
      <c r="V111" s="819">
        <f t="shared" si="25"/>
        <v>0</v>
      </c>
      <c r="W111" s="820">
        <f t="shared" si="25"/>
        <v>0</v>
      </c>
    </row>
    <row r="112" spans="1:23" x14ac:dyDescent="0.35">
      <c r="A112" s="901"/>
      <c r="B112" s="805">
        <f t="shared" si="23"/>
        <v>9.25</v>
      </c>
      <c r="C112" s="818">
        <f t="shared" si="25"/>
        <v>0</v>
      </c>
      <c r="D112" s="819">
        <f t="shared" si="25"/>
        <v>0</v>
      </c>
      <c r="E112" s="819">
        <f t="shared" si="25"/>
        <v>0</v>
      </c>
      <c r="F112" s="819">
        <f t="shared" si="25"/>
        <v>0</v>
      </c>
      <c r="G112" s="819">
        <f t="shared" si="25"/>
        <v>0</v>
      </c>
      <c r="H112" s="819">
        <f t="shared" si="25"/>
        <v>0</v>
      </c>
      <c r="I112" s="819">
        <f t="shared" si="25"/>
        <v>0</v>
      </c>
      <c r="J112" s="819">
        <f t="shared" si="25"/>
        <v>0</v>
      </c>
      <c r="K112" s="819">
        <f t="shared" si="25"/>
        <v>0</v>
      </c>
      <c r="L112" s="819">
        <f t="shared" si="25"/>
        <v>0</v>
      </c>
      <c r="M112" s="819">
        <f t="shared" si="25"/>
        <v>0</v>
      </c>
      <c r="N112" s="819">
        <f t="shared" si="25"/>
        <v>0</v>
      </c>
      <c r="O112" s="819">
        <f t="shared" si="25"/>
        <v>0</v>
      </c>
      <c r="P112" s="819">
        <f t="shared" si="25"/>
        <v>0</v>
      </c>
      <c r="Q112" s="819">
        <f t="shared" si="25"/>
        <v>0</v>
      </c>
      <c r="R112" s="819">
        <f t="shared" si="25"/>
        <v>0</v>
      </c>
      <c r="S112" s="819">
        <f t="shared" si="25"/>
        <v>0</v>
      </c>
      <c r="T112" s="819">
        <f t="shared" si="25"/>
        <v>0</v>
      </c>
      <c r="U112" s="819">
        <f t="shared" si="25"/>
        <v>0</v>
      </c>
      <c r="V112" s="819">
        <f t="shared" si="25"/>
        <v>0</v>
      </c>
      <c r="W112" s="820">
        <f t="shared" si="25"/>
        <v>0</v>
      </c>
    </row>
    <row r="113" spans="1:23" ht="15" thickBot="1" x14ac:dyDescent="0.4">
      <c r="A113" s="902"/>
      <c r="B113" s="808">
        <f t="shared" si="23"/>
        <v>9.75</v>
      </c>
      <c r="C113" s="821">
        <f t="shared" si="25"/>
        <v>0</v>
      </c>
      <c r="D113" s="822">
        <f t="shared" si="25"/>
        <v>0</v>
      </c>
      <c r="E113" s="822">
        <f t="shared" si="25"/>
        <v>0</v>
      </c>
      <c r="F113" s="822">
        <f t="shared" si="25"/>
        <v>0</v>
      </c>
      <c r="G113" s="822">
        <f t="shared" si="25"/>
        <v>0</v>
      </c>
      <c r="H113" s="822">
        <f t="shared" si="25"/>
        <v>0</v>
      </c>
      <c r="I113" s="822">
        <f t="shared" si="25"/>
        <v>0</v>
      </c>
      <c r="J113" s="822">
        <f t="shared" si="25"/>
        <v>0</v>
      </c>
      <c r="K113" s="822">
        <f t="shared" si="25"/>
        <v>0</v>
      </c>
      <c r="L113" s="822">
        <f t="shared" si="25"/>
        <v>0</v>
      </c>
      <c r="M113" s="822">
        <f t="shared" si="25"/>
        <v>0</v>
      </c>
      <c r="N113" s="822">
        <f t="shared" si="25"/>
        <v>0</v>
      </c>
      <c r="O113" s="822">
        <f t="shared" si="25"/>
        <v>0</v>
      </c>
      <c r="P113" s="822">
        <f t="shared" si="25"/>
        <v>0</v>
      </c>
      <c r="Q113" s="822">
        <f t="shared" si="25"/>
        <v>0</v>
      </c>
      <c r="R113" s="822">
        <f t="shared" si="25"/>
        <v>0</v>
      </c>
      <c r="S113" s="822">
        <f t="shared" si="25"/>
        <v>0</v>
      </c>
      <c r="T113" s="822">
        <f t="shared" si="25"/>
        <v>0</v>
      </c>
      <c r="U113" s="822">
        <f t="shared" si="25"/>
        <v>0</v>
      </c>
      <c r="V113" s="822">
        <f t="shared" si="25"/>
        <v>0</v>
      </c>
      <c r="W113" s="823">
        <f t="shared" si="25"/>
        <v>0</v>
      </c>
    </row>
    <row r="114" spans="1:23" ht="15" thickBot="1" x14ac:dyDescent="0.4">
      <c r="A114" s="812"/>
      <c r="B114" s="545"/>
      <c r="C114" s="813">
        <f>C93*1.16</f>
        <v>0.57999999999999996</v>
      </c>
      <c r="D114" s="813">
        <f t="shared" ref="D114:W114" si="26">D93*1.16</f>
        <v>1.7399999999999998</v>
      </c>
      <c r="E114" s="813">
        <f t="shared" si="26"/>
        <v>2.9</v>
      </c>
      <c r="F114" s="813">
        <f t="shared" si="26"/>
        <v>4.0599999999999996</v>
      </c>
      <c r="G114" s="813">
        <f t="shared" si="26"/>
        <v>5.22</v>
      </c>
      <c r="H114" s="813">
        <f t="shared" si="26"/>
        <v>6.38</v>
      </c>
      <c r="I114" s="813">
        <f t="shared" si="26"/>
        <v>7.5399999999999991</v>
      </c>
      <c r="J114" s="813">
        <f t="shared" si="26"/>
        <v>8.6999999999999993</v>
      </c>
      <c r="K114" s="813">
        <f t="shared" si="26"/>
        <v>9.86</v>
      </c>
      <c r="L114" s="813">
        <f t="shared" si="26"/>
        <v>11.02</v>
      </c>
      <c r="M114" s="813">
        <f t="shared" si="26"/>
        <v>12.18</v>
      </c>
      <c r="N114" s="813">
        <f t="shared" si="26"/>
        <v>13.34</v>
      </c>
      <c r="O114" s="813">
        <f t="shared" si="26"/>
        <v>14.499999999999998</v>
      </c>
      <c r="P114" s="813">
        <f t="shared" si="26"/>
        <v>15.659999999999998</v>
      </c>
      <c r="Q114" s="813">
        <f t="shared" si="26"/>
        <v>16.82</v>
      </c>
      <c r="R114" s="813">
        <f t="shared" si="26"/>
        <v>17.98</v>
      </c>
      <c r="S114" s="813">
        <f t="shared" si="26"/>
        <v>19.139999999999997</v>
      </c>
      <c r="T114" s="813">
        <f t="shared" si="26"/>
        <v>20.299999999999997</v>
      </c>
      <c r="U114" s="813">
        <f t="shared" si="26"/>
        <v>21.459999999999997</v>
      </c>
      <c r="V114" s="813">
        <f t="shared" si="26"/>
        <v>22.619999999999997</v>
      </c>
      <c r="W114" s="813">
        <f t="shared" si="26"/>
        <v>23.779999999999998</v>
      </c>
    </row>
    <row r="115" spans="1:23" ht="15" thickBot="1" x14ac:dyDescent="0.4">
      <c r="A115" s="812"/>
      <c r="B115" s="545"/>
      <c r="C115" s="893" t="s">
        <v>1375</v>
      </c>
      <c r="D115" s="894"/>
      <c r="E115" s="894"/>
      <c r="F115" s="894"/>
      <c r="G115" s="894"/>
      <c r="H115" s="894"/>
      <c r="I115" s="894"/>
      <c r="J115" s="894"/>
      <c r="K115" s="894"/>
      <c r="L115" s="894"/>
      <c r="M115" s="894"/>
      <c r="N115" s="894"/>
      <c r="O115" s="894"/>
      <c r="P115" s="894"/>
      <c r="Q115" s="894"/>
      <c r="R115" s="894"/>
      <c r="S115" s="894"/>
      <c r="T115" s="894"/>
      <c r="U115" s="894"/>
      <c r="V115" s="894"/>
      <c r="W115" s="895"/>
    </row>
    <row r="116" spans="1:23" x14ac:dyDescent="0.35">
      <c r="V116" s="725" t="s">
        <v>84</v>
      </c>
      <c r="W116" s="355">
        <f>SUM(C94:W113)</f>
        <v>13449.076729488663</v>
      </c>
    </row>
    <row r="117" spans="1:23" x14ac:dyDescent="0.35">
      <c r="V117" s="725" t="s">
        <v>1380</v>
      </c>
      <c r="W117" s="355">
        <f>W116/W88</f>
        <v>134.72289958672502</v>
      </c>
    </row>
  </sheetData>
  <mergeCells count="20">
    <mergeCell ref="A94:A113"/>
    <mergeCell ref="C115:W115"/>
    <mergeCell ref="A64:B65"/>
    <mergeCell ref="C64:W64"/>
    <mergeCell ref="A66:A85"/>
    <mergeCell ref="C87:W87"/>
    <mergeCell ref="A92:B93"/>
    <mergeCell ref="C92:W92"/>
    <mergeCell ref="C59:W59"/>
    <mergeCell ref="A8:B9"/>
    <mergeCell ref="C8:W8"/>
    <mergeCell ref="Z8:AA9"/>
    <mergeCell ref="AB8:AV8"/>
    <mergeCell ref="A10:A29"/>
    <mergeCell ref="Z10:Z29"/>
    <mergeCell ref="C31:W31"/>
    <mergeCell ref="AB31:AV31"/>
    <mergeCell ref="A36:B37"/>
    <mergeCell ref="C36:W36"/>
    <mergeCell ref="A38:A57"/>
  </mergeCells>
  <conditionalFormatting sqref="C10:W29">
    <cfRule type="colorScale" priority="5">
      <colorScale>
        <cfvo type="min"/>
        <cfvo type="percentile" val="50"/>
        <cfvo type="max"/>
        <color rgb="FF63BE7B"/>
        <color rgb="FFFFEB84"/>
        <color rgb="FFF8696B"/>
      </colorScale>
    </cfRule>
  </conditionalFormatting>
  <conditionalFormatting sqref="C38:W57">
    <cfRule type="colorScale" priority="4">
      <colorScale>
        <cfvo type="min"/>
        <cfvo type="percentile" val="50"/>
        <cfvo type="max"/>
        <color rgb="FF63BE7B"/>
        <color rgb="FFFFEB84"/>
        <color rgb="FFF8696B"/>
      </colorScale>
    </cfRule>
  </conditionalFormatting>
  <conditionalFormatting sqref="C66:W85">
    <cfRule type="colorScale" priority="3">
      <colorScale>
        <cfvo type="min"/>
        <cfvo type="percentile" val="50"/>
        <cfvo type="max"/>
        <color rgb="FF63BE7B"/>
        <color rgb="FFFFEB84"/>
        <color rgb="FFF8696B"/>
      </colorScale>
    </cfRule>
  </conditionalFormatting>
  <conditionalFormatting sqref="C94:W113">
    <cfRule type="colorScale" priority="2">
      <colorScale>
        <cfvo type="min"/>
        <cfvo type="percentile" val="50"/>
        <cfvo type="max"/>
        <color rgb="FF63BE7B"/>
        <color rgb="FFFFEB84"/>
        <color rgb="FFF8696B"/>
      </colorScale>
    </cfRule>
  </conditionalFormatting>
  <conditionalFormatting sqref="AB10:AV29">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7"/>
  <sheetViews>
    <sheetView zoomScale="60" zoomScaleNormal="60" workbookViewId="0">
      <selection activeCell="N25" sqref="N25"/>
    </sheetView>
  </sheetViews>
  <sheetFormatPr defaultRowHeight="14.5" x14ac:dyDescent="0.35"/>
  <cols>
    <col min="1" max="16384" width="8.7265625" style="725"/>
  </cols>
  <sheetData>
    <row r="1" spans="1:48" x14ac:dyDescent="0.35">
      <c r="A1" s="725" t="s">
        <v>281</v>
      </c>
      <c r="C1" s="517">
        <v>182.61828238196756</v>
      </c>
      <c r="D1" s="725" t="s">
        <v>135</v>
      </c>
    </row>
    <row r="2" spans="1:48" x14ac:dyDescent="0.35">
      <c r="A2" s="725" t="s">
        <v>1368</v>
      </c>
      <c r="C2" s="517">
        <f>C3*24*365/1000</f>
        <v>481.2499872296292</v>
      </c>
      <c r="D2" s="725" t="s">
        <v>1369</v>
      </c>
    </row>
    <row r="3" spans="1:48" x14ac:dyDescent="0.35">
      <c r="A3" s="725" t="s">
        <v>1370</v>
      </c>
      <c r="C3" s="355">
        <f>W117</f>
        <v>54.937213154067258</v>
      </c>
      <c r="D3" s="725" t="s">
        <v>135</v>
      </c>
    </row>
    <row r="4" spans="1:48" x14ac:dyDescent="0.35">
      <c r="A4" s="725" t="s">
        <v>1365</v>
      </c>
      <c r="C4" s="797">
        <f>C3/C1</f>
        <v>0.30083085021662637</v>
      </c>
    </row>
    <row r="6" spans="1:48" x14ac:dyDescent="0.35">
      <c r="A6" s="725" t="s">
        <v>1371</v>
      </c>
      <c r="B6" s="545"/>
      <c r="C6" s="545"/>
      <c r="D6" s="545"/>
      <c r="E6" s="545"/>
      <c r="F6" s="545"/>
      <c r="G6" s="545"/>
      <c r="H6" s="545"/>
      <c r="I6" s="545"/>
      <c r="J6" s="545"/>
      <c r="K6" s="545"/>
      <c r="L6" s="545"/>
      <c r="M6" s="545"/>
      <c r="N6" s="545"/>
      <c r="O6" s="545"/>
      <c r="P6" s="545"/>
      <c r="Q6" s="545"/>
      <c r="R6" s="545"/>
      <c r="S6" s="545"/>
      <c r="Z6" s="725" t="s">
        <v>1372</v>
      </c>
      <c r="AA6" s="545"/>
      <c r="AB6" s="545"/>
      <c r="AC6" s="545"/>
      <c r="AD6" s="545"/>
      <c r="AE6" s="545"/>
      <c r="AF6" s="545"/>
      <c r="AG6" s="545"/>
      <c r="AH6" s="545"/>
      <c r="AI6" s="545"/>
      <c r="AJ6" s="545"/>
      <c r="AK6" s="545"/>
      <c r="AL6" s="545"/>
      <c r="AM6" s="545"/>
      <c r="AN6" s="545"/>
      <c r="AO6" s="545"/>
      <c r="AP6" s="545"/>
      <c r="AQ6" s="545"/>
      <c r="AR6" s="545"/>
    </row>
    <row r="7" spans="1:48" ht="15" thickBot="1" x14ac:dyDescent="0.4"/>
    <row r="8" spans="1:48" ht="15" thickBot="1" x14ac:dyDescent="0.4">
      <c r="A8" s="896"/>
      <c r="B8" s="897"/>
      <c r="C8" s="893" t="s">
        <v>1373</v>
      </c>
      <c r="D8" s="894"/>
      <c r="E8" s="894"/>
      <c r="F8" s="894"/>
      <c r="G8" s="894"/>
      <c r="H8" s="894"/>
      <c r="I8" s="894"/>
      <c r="J8" s="894"/>
      <c r="K8" s="894"/>
      <c r="L8" s="894"/>
      <c r="M8" s="894"/>
      <c r="N8" s="894"/>
      <c r="O8" s="894"/>
      <c r="P8" s="894"/>
      <c r="Q8" s="894"/>
      <c r="R8" s="894"/>
      <c r="S8" s="894"/>
      <c r="T8" s="894"/>
      <c r="U8" s="894"/>
      <c r="V8" s="894"/>
      <c r="W8" s="895"/>
      <c r="Z8" s="896"/>
      <c r="AA8" s="897"/>
      <c r="AB8" s="893" t="s">
        <v>1373</v>
      </c>
      <c r="AC8" s="894"/>
      <c r="AD8" s="894"/>
      <c r="AE8" s="894"/>
      <c r="AF8" s="894"/>
      <c r="AG8" s="894"/>
      <c r="AH8" s="894"/>
      <c r="AI8" s="894"/>
      <c r="AJ8" s="894"/>
      <c r="AK8" s="894"/>
      <c r="AL8" s="894"/>
      <c r="AM8" s="894"/>
      <c r="AN8" s="894"/>
      <c r="AO8" s="894"/>
      <c r="AP8" s="894"/>
      <c r="AQ8" s="894"/>
      <c r="AR8" s="894"/>
      <c r="AS8" s="894"/>
      <c r="AT8" s="894"/>
      <c r="AU8" s="894"/>
      <c r="AV8" s="895"/>
    </row>
    <row r="9" spans="1:48" ht="15" thickBot="1" x14ac:dyDescent="0.4">
      <c r="A9" s="898"/>
      <c r="B9" s="899"/>
      <c r="C9" s="798">
        <v>0.5</v>
      </c>
      <c r="D9" s="799">
        <f>C9+1</f>
        <v>1.5</v>
      </c>
      <c r="E9" s="799">
        <f t="shared" ref="E9" si="0">D9+1</f>
        <v>2.5</v>
      </c>
      <c r="F9" s="799">
        <f>E9+1</f>
        <v>3.5</v>
      </c>
      <c r="G9" s="799">
        <f t="shared" ref="G9:W9" si="1">F9+1</f>
        <v>4.5</v>
      </c>
      <c r="H9" s="799">
        <f t="shared" si="1"/>
        <v>5.5</v>
      </c>
      <c r="I9" s="799">
        <f t="shared" si="1"/>
        <v>6.5</v>
      </c>
      <c r="J9" s="799">
        <f t="shared" si="1"/>
        <v>7.5</v>
      </c>
      <c r="K9" s="799">
        <f t="shared" si="1"/>
        <v>8.5</v>
      </c>
      <c r="L9" s="799">
        <f t="shared" si="1"/>
        <v>9.5</v>
      </c>
      <c r="M9" s="799">
        <f t="shared" si="1"/>
        <v>10.5</v>
      </c>
      <c r="N9" s="799">
        <f t="shared" si="1"/>
        <v>11.5</v>
      </c>
      <c r="O9" s="799">
        <f t="shared" si="1"/>
        <v>12.5</v>
      </c>
      <c r="P9" s="799">
        <f t="shared" si="1"/>
        <v>13.5</v>
      </c>
      <c r="Q9" s="799">
        <f t="shared" si="1"/>
        <v>14.5</v>
      </c>
      <c r="R9" s="799">
        <f t="shared" si="1"/>
        <v>15.5</v>
      </c>
      <c r="S9" s="799">
        <f t="shared" si="1"/>
        <v>16.5</v>
      </c>
      <c r="T9" s="799">
        <f t="shared" si="1"/>
        <v>17.5</v>
      </c>
      <c r="U9" s="799">
        <f t="shared" si="1"/>
        <v>18.5</v>
      </c>
      <c r="V9" s="799">
        <f t="shared" si="1"/>
        <v>19.5</v>
      </c>
      <c r="W9" s="800">
        <f t="shared" si="1"/>
        <v>20.5</v>
      </c>
      <c r="Z9" s="898"/>
      <c r="AA9" s="899"/>
      <c r="AB9" s="798">
        <v>0.5</v>
      </c>
      <c r="AC9" s="799">
        <f>AB9+1</f>
        <v>1.5</v>
      </c>
      <c r="AD9" s="799">
        <f t="shared" ref="AD9" si="2">AC9+1</f>
        <v>2.5</v>
      </c>
      <c r="AE9" s="799">
        <f>AD9+1</f>
        <v>3.5</v>
      </c>
      <c r="AF9" s="799">
        <f t="shared" ref="AF9:AV9" si="3">AE9+1</f>
        <v>4.5</v>
      </c>
      <c r="AG9" s="799">
        <f t="shared" si="3"/>
        <v>5.5</v>
      </c>
      <c r="AH9" s="799">
        <f t="shared" si="3"/>
        <v>6.5</v>
      </c>
      <c r="AI9" s="799">
        <f t="shared" si="3"/>
        <v>7.5</v>
      </c>
      <c r="AJ9" s="799">
        <f t="shared" si="3"/>
        <v>8.5</v>
      </c>
      <c r="AK9" s="799">
        <f t="shared" si="3"/>
        <v>9.5</v>
      </c>
      <c r="AL9" s="799">
        <f t="shared" si="3"/>
        <v>10.5</v>
      </c>
      <c r="AM9" s="799">
        <f t="shared" si="3"/>
        <v>11.5</v>
      </c>
      <c r="AN9" s="799">
        <f t="shared" si="3"/>
        <v>12.5</v>
      </c>
      <c r="AO9" s="799">
        <f t="shared" si="3"/>
        <v>13.5</v>
      </c>
      <c r="AP9" s="799">
        <f t="shared" si="3"/>
        <v>14.5</v>
      </c>
      <c r="AQ9" s="799">
        <f t="shared" si="3"/>
        <v>15.5</v>
      </c>
      <c r="AR9" s="799">
        <f t="shared" si="3"/>
        <v>16.5</v>
      </c>
      <c r="AS9" s="799">
        <f t="shared" si="3"/>
        <v>17.5</v>
      </c>
      <c r="AT9" s="799">
        <f t="shared" si="3"/>
        <v>18.5</v>
      </c>
      <c r="AU9" s="799">
        <f t="shared" si="3"/>
        <v>19.5</v>
      </c>
      <c r="AV9" s="800">
        <f t="shared" si="3"/>
        <v>20.5</v>
      </c>
    </row>
    <row r="10" spans="1:48" x14ac:dyDescent="0.35">
      <c r="A10" s="900" t="s">
        <v>1374</v>
      </c>
      <c r="B10" s="801">
        <v>0.25</v>
      </c>
      <c r="C10" s="802">
        <v>0</v>
      </c>
      <c r="D10" s="803">
        <v>0</v>
      </c>
      <c r="E10" s="803">
        <v>0</v>
      </c>
      <c r="F10" s="803">
        <v>0</v>
      </c>
      <c r="G10" s="803">
        <v>0</v>
      </c>
      <c r="H10" s="803">
        <v>0</v>
      </c>
      <c r="I10" s="803">
        <v>0</v>
      </c>
      <c r="J10" s="803">
        <v>0.64924241302415397</v>
      </c>
      <c r="K10" s="803">
        <v>0.67777349838037504</v>
      </c>
      <c r="L10" s="803">
        <v>0</v>
      </c>
      <c r="M10" s="803">
        <v>0</v>
      </c>
      <c r="N10" s="803">
        <v>0</v>
      </c>
      <c r="O10" s="803">
        <v>0</v>
      </c>
      <c r="P10" s="803">
        <v>0</v>
      </c>
      <c r="Q10" s="803">
        <v>0</v>
      </c>
      <c r="R10" s="803">
        <v>0</v>
      </c>
      <c r="S10" s="803">
        <v>0</v>
      </c>
      <c r="T10" s="803">
        <v>0</v>
      </c>
      <c r="U10" s="803">
        <v>0</v>
      </c>
      <c r="V10" s="803">
        <v>0</v>
      </c>
      <c r="W10" s="804">
        <v>0</v>
      </c>
      <c r="Z10" s="900" t="s">
        <v>1374</v>
      </c>
      <c r="AA10" s="801">
        <v>0.25</v>
      </c>
      <c r="AB10" s="802">
        <v>0</v>
      </c>
      <c r="AC10" s="803">
        <v>0</v>
      </c>
      <c r="AD10" s="803">
        <v>0</v>
      </c>
      <c r="AE10" s="803">
        <v>0</v>
      </c>
      <c r="AF10" s="803">
        <v>0</v>
      </c>
      <c r="AG10" s="803">
        <v>0</v>
      </c>
      <c r="AH10" s="803">
        <v>0</v>
      </c>
      <c r="AI10" s="803">
        <v>57268.850875611897</v>
      </c>
      <c r="AJ10" s="803">
        <v>63336.569070016398</v>
      </c>
      <c r="AK10" s="803">
        <v>0</v>
      </c>
      <c r="AL10" s="803">
        <v>0</v>
      </c>
      <c r="AM10" s="803">
        <v>0</v>
      </c>
      <c r="AN10" s="803">
        <v>0</v>
      </c>
      <c r="AO10" s="803">
        <v>0</v>
      </c>
      <c r="AP10" s="803">
        <v>0</v>
      </c>
      <c r="AQ10" s="803">
        <v>0</v>
      </c>
      <c r="AR10" s="803">
        <v>0</v>
      </c>
      <c r="AS10" s="803">
        <v>0</v>
      </c>
      <c r="AT10" s="803">
        <v>0</v>
      </c>
      <c r="AU10" s="803">
        <v>0</v>
      </c>
      <c r="AV10" s="804">
        <v>0</v>
      </c>
    </row>
    <row r="11" spans="1:48" x14ac:dyDescent="0.35">
      <c r="A11" s="901"/>
      <c r="B11" s="805">
        <f>B10+0.5</f>
        <v>0.75</v>
      </c>
      <c r="C11" s="806">
        <v>0</v>
      </c>
      <c r="D11" s="73">
        <v>0</v>
      </c>
      <c r="E11" s="73">
        <v>0</v>
      </c>
      <c r="F11" s="73">
        <v>0</v>
      </c>
      <c r="G11" s="73">
        <v>3.5523142603953399</v>
      </c>
      <c r="H11" s="73">
        <v>4.5784742926892896</v>
      </c>
      <c r="I11" s="73">
        <v>5.2048112546688898</v>
      </c>
      <c r="J11" s="73">
        <v>5.8431817172173499</v>
      </c>
      <c r="K11" s="73">
        <v>6.0999614854233402</v>
      </c>
      <c r="L11" s="73">
        <v>6.1079125952391298</v>
      </c>
      <c r="M11" s="73">
        <v>6.0490819998268597</v>
      </c>
      <c r="N11" s="73">
        <v>5.89366579769192</v>
      </c>
      <c r="O11" s="73">
        <v>5.7089721328539698</v>
      </c>
      <c r="P11" s="73">
        <v>0</v>
      </c>
      <c r="Q11" s="73">
        <v>0</v>
      </c>
      <c r="R11" s="73">
        <v>0</v>
      </c>
      <c r="S11" s="73">
        <v>0</v>
      </c>
      <c r="T11" s="73">
        <v>0</v>
      </c>
      <c r="U11" s="73">
        <v>0</v>
      </c>
      <c r="V11" s="73">
        <v>0</v>
      </c>
      <c r="W11" s="807">
        <v>0</v>
      </c>
      <c r="Z11" s="901"/>
      <c r="AA11" s="805">
        <f>AA10+0.5</f>
        <v>0.75</v>
      </c>
      <c r="AB11" s="806">
        <v>0</v>
      </c>
      <c r="AC11" s="73">
        <v>0</v>
      </c>
      <c r="AD11" s="73">
        <v>0</v>
      </c>
      <c r="AE11" s="73">
        <v>0</v>
      </c>
      <c r="AF11" s="73">
        <v>95929.7392428639</v>
      </c>
      <c r="AG11" s="73">
        <v>122370.807511192</v>
      </c>
      <c r="AH11" s="73">
        <v>132323.52233581201</v>
      </c>
      <c r="AI11" s="73">
        <v>171806.552626836</v>
      </c>
      <c r="AJ11" s="73">
        <v>190009.707210049</v>
      </c>
      <c r="AK11" s="73">
        <v>238636.512820034</v>
      </c>
      <c r="AL11" s="73">
        <v>231477.938173559</v>
      </c>
      <c r="AM11" s="73">
        <v>227993.508568733</v>
      </c>
      <c r="AN11" s="73">
        <v>214621.35483475501</v>
      </c>
      <c r="AO11" s="73">
        <v>0</v>
      </c>
      <c r="AP11" s="73">
        <v>0</v>
      </c>
      <c r="AQ11" s="73">
        <v>0</v>
      </c>
      <c r="AR11" s="73">
        <v>0</v>
      </c>
      <c r="AS11" s="73">
        <v>0</v>
      </c>
      <c r="AT11" s="73">
        <v>0</v>
      </c>
      <c r="AU11" s="73">
        <v>0</v>
      </c>
      <c r="AV11" s="807">
        <v>0</v>
      </c>
    </row>
    <row r="12" spans="1:48" ht="15.75" customHeight="1" x14ac:dyDescent="0.35">
      <c r="A12" s="901"/>
      <c r="B12" s="805">
        <f t="shared" ref="B12:B29" si="4">B11+0.5</f>
        <v>1.25</v>
      </c>
      <c r="C12" s="806">
        <v>0</v>
      </c>
      <c r="D12" s="73">
        <v>0</v>
      </c>
      <c r="E12" s="73">
        <v>0</v>
      </c>
      <c r="F12" s="73">
        <v>0</v>
      </c>
      <c r="G12" s="73">
        <v>9.8675396122092902</v>
      </c>
      <c r="H12" s="73">
        <v>12.7179841463591</v>
      </c>
      <c r="I12" s="73">
        <v>14.457809040747</v>
      </c>
      <c r="J12" s="73">
        <v>16.231060325603799</v>
      </c>
      <c r="K12" s="73">
        <v>16.944337459509299</v>
      </c>
      <c r="L12" s="73">
        <v>16.966423875664301</v>
      </c>
      <c r="M12" s="73">
        <v>16.803005555074598</v>
      </c>
      <c r="N12" s="73">
        <v>16.371293882477499</v>
      </c>
      <c r="O12" s="73">
        <v>15.858255924594401</v>
      </c>
      <c r="P12" s="73">
        <v>15.2100740557508</v>
      </c>
      <c r="Q12" s="73">
        <v>14.9585621676489</v>
      </c>
      <c r="R12" s="73">
        <v>14.248750753560101</v>
      </c>
      <c r="S12" s="73">
        <v>0</v>
      </c>
      <c r="T12" s="73">
        <v>0</v>
      </c>
      <c r="U12" s="73">
        <v>0</v>
      </c>
      <c r="V12" s="73">
        <v>0</v>
      </c>
      <c r="W12" s="807">
        <v>0</v>
      </c>
      <c r="Z12" s="901"/>
      <c r="AA12" s="805">
        <f t="shared" ref="AA12:AA29" si="5">AA11+0.5</f>
        <v>1.25</v>
      </c>
      <c r="AB12" s="806">
        <v>0</v>
      </c>
      <c r="AC12" s="73">
        <v>0</v>
      </c>
      <c r="AD12" s="73">
        <v>0</v>
      </c>
      <c r="AE12" s="73">
        <v>0</v>
      </c>
      <c r="AF12" s="73">
        <v>159882.898738107</v>
      </c>
      <c r="AG12" s="73">
        <v>203951.345851986</v>
      </c>
      <c r="AH12" s="73">
        <v>220539.20389301999</v>
      </c>
      <c r="AI12" s="73">
        <v>286344.25437806</v>
      </c>
      <c r="AJ12" s="73">
        <v>316682.84535008197</v>
      </c>
      <c r="AK12" s="73">
        <v>397727.521366723</v>
      </c>
      <c r="AL12" s="73">
        <v>385796.563622599</v>
      </c>
      <c r="AM12" s="73">
        <v>379989.180947888</v>
      </c>
      <c r="AN12" s="73">
        <v>357702.25805792498</v>
      </c>
      <c r="AO12" s="73">
        <v>376473.70817319897</v>
      </c>
      <c r="AP12" s="73">
        <v>426668.39357545</v>
      </c>
      <c r="AQ12" s="73">
        <v>434956.17285129102</v>
      </c>
      <c r="AR12" s="73">
        <v>0</v>
      </c>
      <c r="AS12" s="73">
        <v>0</v>
      </c>
      <c r="AT12" s="73">
        <v>0</v>
      </c>
      <c r="AU12" s="73">
        <v>0</v>
      </c>
      <c r="AV12" s="807">
        <v>0</v>
      </c>
    </row>
    <row r="13" spans="1:48" x14ac:dyDescent="0.35">
      <c r="A13" s="901"/>
      <c r="B13" s="805">
        <f t="shared" si="4"/>
        <v>1.75</v>
      </c>
      <c r="C13" s="806">
        <v>0</v>
      </c>
      <c r="D13" s="73">
        <v>0</v>
      </c>
      <c r="E13" s="73">
        <v>0</v>
      </c>
      <c r="F13" s="73">
        <v>0</v>
      </c>
      <c r="G13" s="73">
        <v>0</v>
      </c>
      <c r="H13" s="73">
        <v>24.9272489268638</v>
      </c>
      <c r="I13" s="73">
        <v>28.337305719863899</v>
      </c>
      <c r="J13" s="73">
        <v>31.812878238183501</v>
      </c>
      <c r="K13" s="73">
        <v>33.210901420638301</v>
      </c>
      <c r="L13" s="73">
        <v>33.254190796302098</v>
      </c>
      <c r="M13" s="73">
        <v>32.933890887946298</v>
      </c>
      <c r="N13" s="73">
        <v>32.087736009656098</v>
      </c>
      <c r="O13" s="73">
        <v>31.082181612205101</v>
      </c>
      <c r="P13" s="73">
        <v>29.811745149271601</v>
      </c>
      <c r="Q13" s="73">
        <v>29.318781848591801</v>
      </c>
      <c r="R13" s="73">
        <v>27.927551476977801</v>
      </c>
      <c r="S13" s="73">
        <v>0</v>
      </c>
      <c r="T13" s="73">
        <v>0</v>
      </c>
      <c r="U13" s="73">
        <v>0</v>
      </c>
      <c r="V13" s="73">
        <v>0</v>
      </c>
      <c r="W13" s="807">
        <v>0</v>
      </c>
      <c r="Z13" s="901"/>
      <c r="AA13" s="805">
        <f t="shared" si="5"/>
        <v>1.75</v>
      </c>
      <c r="AB13" s="806">
        <v>0</v>
      </c>
      <c r="AC13" s="73">
        <v>0</v>
      </c>
      <c r="AD13" s="73">
        <v>0</v>
      </c>
      <c r="AE13" s="73">
        <v>0</v>
      </c>
      <c r="AF13" s="73">
        <v>0</v>
      </c>
      <c r="AG13" s="73">
        <v>285531.884192781</v>
      </c>
      <c r="AH13" s="73">
        <v>308754.885450228</v>
      </c>
      <c r="AI13" s="73">
        <v>400881.956129283</v>
      </c>
      <c r="AJ13" s="73">
        <v>443355.98349011497</v>
      </c>
      <c r="AK13" s="73">
        <v>556818.52991341299</v>
      </c>
      <c r="AL13" s="73">
        <v>540115.18907163898</v>
      </c>
      <c r="AM13" s="73">
        <v>531984.85332704301</v>
      </c>
      <c r="AN13" s="73">
        <v>500783.161281095</v>
      </c>
      <c r="AO13" s="73">
        <v>527063.19144247903</v>
      </c>
      <c r="AP13" s="73">
        <v>597335.75100563001</v>
      </c>
      <c r="AQ13" s="73">
        <v>608938.64199180796</v>
      </c>
      <c r="AR13" s="73">
        <v>0</v>
      </c>
      <c r="AS13" s="73">
        <v>0</v>
      </c>
      <c r="AT13" s="73">
        <v>0</v>
      </c>
      <c r="AU13" s="73">
        <v>0</v>
      </c>
      <c r="AV13" s="807">
        <v>0</v>
      </c>
    </row>
    <row r="14" spans="1:48" ht="15" customHeight="1" x14ac:dyDescent="0.35">
      <c r="A14" s="901"/>
      <c r="B14" s="805">
        <f t="shared" si="4"/>
        <v>2.25</v>
      </c>
      <c r="C14" s="806">
        <v>0</v>
      </c>
      <c r="D14" s="73">
        <v>0</v>
      </c>
      <c r="E14" s="73">
        <v>0</v>
      </c>
      <c r="F14" s="73">
        <v>0</v>
      </c>
      <c r="G14" s="73">
        <v>0</v>
      </c>
      <c r="H14" s="73">
        <v>0</v>
      </c>
      <c r="I14" s="73">
        <v>46.843301292020101</v>
      </c>
      <c r="J14" s="73">
        <v>52.588635454956297</v>
      </c>
      <c r="K14" s="73">
        <v>54.899653368810199</v>
      </c>
      <c r="L14" s="73">
        <v>54.971213357152301</v>
      </c>
      <c r="M14" s="73">
        <v>54.441737998441901</v>
      </c>
      <c r="N14" s="73">
        <v>53.042992179227198</v>
      </c>
      <c r="O14" s="73">
        <v>51.380749195685702</v>
      </c>
      <c r="P14" s="73">
        <v>49.280639940632703</v>
      </c>
      <c r="Q14" s="73">
        <v>48.465741423182202</v>
      </c>
      <c r="R14" s="73">
        <v>46.165952441534699</v>
      </c>
      <c r="S14" s="73">
        <v>44.909245227355598</v>
      </c>
      <c r="T14" s="73">
        <v>0</v>
      </c>
      <c r="U14" s="73">
        <v>0</v>
      </c>
      <c r="V14" s="73">
        <v>0</v>
      </c>
      <c r="W14" s="807">
        <v>0</v>
      </c>
      <c r="Z14" s="901"/>
      <c r="AA14" s="805">
        <f t="shared" si="5"/>
        <v>2.25</v>
      </c>
      <c r="AB14" s="806">
        <v>0</v>
      </c>
      <c r="AC14" s="73">
        <v>0</v>
      </c>
      <c r="AD14" s="73">
        <v>0</v>
      </c>
      <c r="AE14" s="73">
        <v>0</v>
      </c>
      <c r="AF14" s="73">
        <v>0</v>
      </c>
      <c r="AG14" s="73">
        <v>0</v>
      </c>
      <c r="AH14" s="73">
        <v>396970.56700743601</v>
      </c>
      <c r="AI14" s="73">
        <v>515419.657880507</v>
      </c>
      <c r="AJ14" s="73">
        <v>570029.12163014803</v>
      </c>
      <c r="AK14" s="73">
        <v>715909.53846010205</v>
      </c>
      <c r="AL14" s="73">
        <v>694433.81452067802</v>
      </c>
      <c r="AM14" s="73">
        <v>683980.52570619795</v>
      </c>
      <c r="AN14" s="73">
        <v>643864.06450426497</v>
      </c>
      <c r="AO14" s="73">
        <v>677652.67471175804</v>
      </c>
      <c r="AP14" s="73">
        <v>768003.10843581101</v>
      </c>
      <c r="AQ14" s="73">
        <v>782921.11113232397</v>
      </c>
      <c r="AR14" s="73">
        <v>856648.43630094698</v>
      </c>
      <c r="AS14" s="73">
        <v>0</v>
      </c>
      <c r="AT14" s="73">
        <v>0</v>
      </c>
      <c r="AU14" s="73">
        <v>0</v>
      </c>
      <c r="AV14" s="807">
        <v>0</v>
      </c>
    </row>
    <row r="15" spans="1:48" x14ac:dyDescent="0.35">
      <c r="A15" s="901"/>
      <c r="B15" s="805">
        <f t="shared" si="4"/>
        <v>2.75</v>
      </c>
      <c r="C15" s="806">
        <v>0</v>
      </c>
      <c r="D15" s="73">
        <v>0</v>
      </c>
      <c r="E15" s="73">
        <v>0</v>
      </c>
      <c r="F15" s="73">
        <v>0</v>
      </c>
      <c r="G15" s="73">
        <v>0</v>
      </c>
      <c r="H15" s="73">
        <v>0</v>
      </c>
      <c r="I15" s="73">
        <v>69.975795757214996</v>
      </c>
      <c r="J15" s="73">
        <v>78.558331975922897</v>
      </c>
      <c r="K15" s="73">
        <v>82.010593304025306</v>
      </c>
      <c r="L15" s="73">
        <v>82.117491558215306</v>
      </c>
      <c r="M15" s="73">
        <v>81.326546886561303</v>
      </c>
      <c r="N15" s="73">
        <v>79.237062391191699</v>
      </c>
      <c r="O15" s="73">
        <v>76.753958675037097</v>
      </c>
      <c r="P15" s="73">
        <v>73.616758429833695</v>
      </c>
      <c r="Q15" s="73">
        <v>72.399440891420397</v>
      </c>
      <c r="R15" s="73">
        <v>68.963953647230696</v>
      </c>
      <c r="S15" s="73">
        <v>67.086650277901697</v>
      </c>
      <c r="T15" s="73">
        <v>0</v>
      </c>
      <c r="U15" s="73">
        <v>0</v>
      </c>
      <c r="V15" s="73">
        <v>0</v>
      </c>
      <c r="W15" s="807">
        <v>0</v>
      </c>
      <c r="Z15" s="901"/>
      <c r="AA15" s="805">
        <f t="shared" si="5"/>
        <v>2.75</v>
      </c>
      <c r="AB15" s="806">
        <v>0</v>
      </c>
      <c r="AC15" s="73">
        <v>0</v>
      </c>
      <c r="AD15" s="73">
        <v>0</v>
      </c>
      <c r="AE15" s="73">
        <v>0</v>
      </c>
      <c r="AF15" s="73">
        <v>0</v>
      </c>
      <c r="AG15" s="73">
        <v>0</v>
      </c>
      <c r="AH15" s="73">
        <v>485186.24856464402</v>
      </c>
      <c r="AI15" s="73">
        <v>629957.35963173094</v>
      </c>
      <c r="AJ15" s="73">
        <v>696702.25977018103</v>
      </c>
      <c r="AK15" s="73">
        <v>875000.54700679099</v>
      </c>
      <c r="AL15" s="73">
        <v>848752.43996971694</v>
      </c>
      <c r="AM15" s="73">
        <v>835976.19808535301</v>
      </c>
      <c r="AN15" s="73">
        <v>786944.96772743505</v>
      </c>
      <c r="AO15" s="73">
        <v>828242.15798103798</v>
      </c>
      <c r="AP15" s="73">
        <v>938670.46586599096</v>
      </c>
      <c r="AQ15" s="73">
        <v>956903.58027283999</v>
      </c>
      <c r="AR15" s="73">
        <v>1047014.75547893</v>
      </c>
      <c r="AS15" s="73">
        <v>0</v>
      </c>
      <c r="AT15" s="73">
        <v>0</v>
      </c>
      <c r="AU15" s="73">
        <v>0</v>
      </c>
      <c r="AV15" s="807">
        <v>0</v>
      </c>
    </row>
    <row r="16" spans="1:48" x14ac:dyDescent="0.35">
      <c r="A16" s="901"/>
      <c r="B16" s="805">
        <f t="shared" si="4"/>
        <v>3.25</v>
      </c>
      <c r="C16" s="806">
        <v>0</v>
      </c>
      <c r="D16" s="73">
        <v>0</v>
      </c>
      <c r="E16" s="73">
        <v>0</v>
      </c>
      <c r="F16" s="73">
        <v>0</v>
      </c>
      <c r="G16" s="73">
        <v>0</v>
      </c>
      <c r="H16" s="73">
        <v>0</v>
      </c>
      <c r="I16" s="73">
        <v>0</v>
      </c>
      <c r="J16" s="73">
        <v>109.721967801082</v>
      </c>
      <c r="K16" s="73">
        <v>114.543721226283</v>
      </c>
      <c r="L16" s="73">
        <v>114.69302539949101</v>
      </c>
      <c r="M16" s="73">
        <v>113.588317552305</v>
      </c>
      <c r="N16" s="73">
        <v>110.669946645549</v>
      </c>
      <c r="O16" s="73">
        <v>107.201810050258</v>
      </c>
      <c r="P16" s="73">
        <v>102.820100616875</v>
      </c>
      <c r="Q16" s="73">
        <v>101.11988025330599</v>
      </c>
      <c r="R16" s="73">
        <v>96.321555094066298</v>
      </c>
      <c r="S16" s="73">
        <v>93.699536338556499</v>
      </c>
      <c r="T16" s="73">
        <v>76.593839976416703</v>
      </c>
      <c r="U16" s="73">
        <v>64.907576258917899</v>
      </c>
      <c r="V16" s="73">
        <v>0</v>
      </c>
      <c r="W16" s="807">
        <v>0</v>
      </c>
      <c r="Z16" s="901"/>
      <c r="AA16" s="805">
        <f t="shared" si="5"/>
        <v>3.25</v>
      </c>
      <c r="AB16" s="806">
        <v>0</v>
      </c>
      <c r="AC16" s="73">
        <v>0</v>
      </c>
      <c r="AD16" s="73">
        <v>0</v>
      </c>
      <c r="AE16" s="73">
        <v>0</v>
      </c>
      <c r="AF16" s="73">
        <v>0</v>
      </c>
      <c r="AG16" s="73">
        <v>0</v>
      </c>
      <c r="AH16" s="73">
        <v>0</v>
      </c>
      <c r="AI16" s="73">
        <v>744495.06138295506</v>
      </c>
      <c r="AJ16" s="73">
        <v>823375.39791021298</v>
      </c>
      <c r="AK16" s="73">
        <v>1034091.5555534801</v>
      </c>
      <c r="AL16" s="73">
        <v>1003071.0654187599</v>
      </c>
      <c r="AM16" s="73">
        <v>987971.87046450796</v>
      </c>
      <c r="AN16" s="73">
        <v>930025.87095060502</v>
      </c>
      <c r="AO16" s="73">
        <v>978831.64125031803</v>
      </c>
      <c r="AP16" s="73">
        <v>1109337.82329617</v>
      </c>
      <c r="AQ16" s="73">
        <v>1130886.04941336</v>
      </c>
      <c r="AR16" s="73">
        <v>1237381.07465692</v>
      </c>
      <c r="AS16" s="73">
        <v>1642569.39095681</v>
      </c>
      <c r="AT16" s="73">
        <v>1710282.8315448801</v>
      </c>
      <c r="AU16" s="73">
        <v>0</v>
      </c>
      <c r="AV16" s="807">
        <v>0</v>
      </c>
    </row>
    <row r="17" spans="1:48" x14ac:dyDescent="0.35">
      <c r="A17" s="901"/>
      <c r="B17" s="805">
        <f t="shared" si="4"/>
        <v>3.75</v>
      </c>
      <c r="C17" s="806">
        <v>0</v>
      </c>
      <c r="D17" s="73">
        <v>0</v>
      </c>
      <c r="E17" s="73">
        <v>0</v>
      </c>
      <c r="F17" s="73">
        <v>0</v>
      </c>
      <c r="G17" s="73">
        <v>0</v>
      </c>
      <c r="H17" s="73">
        <v>0</v>
      </c>
      <c r="I17" s="73">
        <v>0</v>
      </c>
      <c r="J17" s="73">
        <v>146.079542930434</v>
      </c>
      <c r="K17" s="73">
        <v>152.49903713558399</v>
      </c>
      <c r="L17" s="73">
        <v>152.697814880979</v>
      </c>
      <c r="M17" s="73">
        <v>151.22704999567199</v>
      </c>
      <c r="N17" s="73">
        <v>147.34164494229901</v>
      </c>
      <c r="O17" s="73">
        <v>142.724303321349</v>
      </c>
      <c r="P17" s="73">
        <v>136.89066650175801</v>
      </c>
      <c r="Q17" s="73">
        <v>134.62705950884001</v>
      </c>
      <c r="R17" s="73">
        <v>128.23875678204101</v>
      </c>
      <c r="S17" s="73">
        <v>124.747903409321</v>
      </c>
      <c r="T17" s="73">
        <v>0</v>
      </c>
      <c r="U17" s="73">
        <v>0</v>
      </c>
      <c r="V17" s="73">
        <v>0</v>
      </c>
      <c r="W17" s="807">
        <v>0</v>
      </c>
      <c r="Z17" s="901"/>
      <c r="AA17" s="805">
        <f t="shared" si="5"/>
        <v>3.75</v>
      </c>
      <c r="AB17" s="806">
        <v>0</v>
      </c>
      <c r="AC17" s="73">
        <v>0</v>
      </c>
      <c r="AD17" s="73">
        <v>0</v>
      </c>
      <c r="AE17" s="73">
        <v>0</v>
      </c>
      <c r="AF17" s="73">
        <v>0</v>
      </c>
      <c r="AG17" s="73">
        <v>0</v>
      </c>
      <c r="AH17" s="73">
        <v>0</v>
      </c>
      <c r="AI17" s="73">
        <v>859032.76313417905</v>
      </c>
      <c r="AJ17" s="73">
        <v>950048.53605024703</v>
      </c>
      <c r="AK17" s="73">
        <v>1193182.56410017</v>
      </c>
      <c r="AL17" s="73">
        <v>1157389.6908678</v>
      </c>
      <c r="AM17" s="73">
        <v>1139967.5428436601</v>
      </c>
      <c r="AN17" s="73">
        <v>1073106.7741737801</v>
      </c>
      <c r="AO17" s="73">
        <v>1129421.1245196001</v>
      </c>
      <c r="AP17" s="73">
        <v>1280005.1807263501</v>
      </c>
      <c r="AQ17" s="73">
        <v>1304868.51855387</v>
      </c>
      <c r="AR17" s="73">
        <v>1427747.3938349099</v>
      </c>
      <c r="AS17" s="73">
        <v>0</v>
      </c>
      <c r="AT17" s="73">
        <v>0</v>
      </c>
      <c r="AU17" s="73">
        <v>0</v>
      </c>
      <c r="AV17" s="807">
        <v>0</v>
      </c>
    </row>
    <row r="18" spans="1:48" x14ac:dyDescent="0.35">
      <c r="A18" s="901"/>
      <c r="B18" s="805">
        <f t="shared" si="4"/>
        <v>4.25</v>
      </c>
      <c r="C18" s="806">
        <v>0</v>
      </c>
      <c r="D18" s="73">
        <v>0</v>
      </c>
      <c r="E18" s="73">
        <v>0</v>
      </c>
      <c r="F18" s="73">
        <v>0</v>
      </c>
      <c r="G18" s="73">
        <v>0</v>
      </c>
      <c r="H18" s="73">
        <v>0</v>
      </c>
      <c r="I18" s="73">
        <v>0</v>
      </c>
      <c r="J18" s="73">
        <v>0</v>
      </c>
      <c r="K18" s="73">
        <v>195.87654103192801</v>
      </c>
      <c r="L18" s="73">
        <v>194.50719844702499</v>
      </c>
      <c r="M18" s="73">
        <v>194.596346509244</v>
      </c>
      <c r="N18" s="73">
        <v>189.25215728144099</v>
      </c>
      <c r="O18" s="73">
        <v>183.321438488311</v>
      </c>
      <c r="P18" s="73">
        <v>175.828456084479</v>
      </c>
      <c r="Q18" s="73">
        <v>173.58175374971799</v>
      </c>
      <c r="R18" s="73">
        <v>165.210859270567</v>
      </c>
      <c r="S18" s="73">
        <v>160.23175149019499</v>
      </c>
      <c r="T18" s="73">
        <v>0</v>
      </c>
      <c r="U18" s="73">
        <v>0</v>
      </c>
      <c r="V18" s="73">
        <v>0</v>
      </c>
      <c r="W18" s="807">
        <v>0</v>
      </c>
      <c r="Z18" s="901"/>
      <c r="AA18" s="805">
        <f t="shared" si="5"/>
        <v>4.25</v>
      </c>
      <c r="AB18" s="806">
        <v>0</v>
      </c>
      <c r="AC18" s="73">
        <v>0</v>
      </c>
      <c r="AD18" s="73">
        <v>0</v>
      </c>
      <c r="AE18" s="73">
        <v>0</v>
      </c>
      <c r="AF18" s="73">
        <v>0</v>
      </c>
      <c r="AG18" s="73">
        <v>0</v>
      </c>
      <c r="AH18" s="73">
        <v>0</v>
      </c>
      <c r="AI18" s="73">
        <v>0</v>
      </c>
      <c r="AJ18" s="73">
        <v>1076721.67419028</v>
      </c>
      <c r="AK18" s="73">
        <v>1384756.5207491701</v>
      </c>
      <c r="AL18" s="73">
        <v>1331575.29729191</v>
      </c>
      <c r="AM18" s="73">
        <v>1291963.2152228199</v>
      </c>
      <c r="AN18" s="73">
        <v>1216187.6773969501</v>
      </c>
      <c r="AO18" s="73">
        <v>1280010.6077888799</v>
      </c>
      <c r="AP18" s="73">
        <v>1483474.67989339</v>
      </c>
      <c r="AQ18" s="73">
        <v>1495091.5823854499</v>
      </c>
      <c r="AR18" s="73">
        <v>1618113.7130129</v>
      </c>
      <c r="AS18" s="73">
        <v>0</v>
      </c>
      <c r="AT18" s="73">
        <v>0</v>
      </c>
      <c r="AU18" s="73">
        <v>0</v>
      </c>
      <c r="AV18" s="807">
        <v>0</v>
      </c>
    </row>
    <row r="19" spans="1:48" x14ac:dyDescent="0.35">
      <c r="A19" s="901"/>
      <c r="B19" s="805">
        <f t="shared" si="4"/>
        <v>4.75</v>
      </c>
      <c r="C19" s="806">
        <v>0</v>
      </c>
      <c r="D19" s="73">
        <v>0</v>
      </c>
      <c r="E19" s="73">
        <v>0</v>
      </c>
      <c r="F19" s="73">
        <v>0</v>
      </c>
      <c r="G19" s="73">
        <v>0</v>
      </c>
      <c r="H19" s="73">
        <v>0</v>
      </c>
      <c r="I19" s="73">
        <v>0</v>
      </c>
      <c r="J19" s="73">
        <v>0</v>
      </c>
      <c r="K19" s="73">
        <v>244.67623291531501</v>
      </c>
      <c r="L19" s="73">
        <v>233.088016231567</v>
      </c>
      <c r="M19" s="73">
        <v>242.02107875514</v>
      </c>
      <c r="N19" s="73">
        <v>238.133579044827</v>
      </c>
      <c r="O19" s="73">
        <v>230.372546524575</v>
      </c>
      <c r="P19" s="73">
        <v>221.30115266427899</v>
      </c>
      <c r="Q19" s="73">
        <v>214.926622321411</v>
      </c>
      <c r="R19" s="73">
        <v>206.234320165551</v>
      </c>
      <c r="S19" s="73">
        <v>200.13974197641801</v>
      </c>
      <c r="T19" s="73">
        <v>0</v>
      </c>
      <c r="U19" s="73">
        <v>0</v>
      </c>
      <c r="V19" s="73">
        <v>0</v>
      </c>
      <c r="W19" s="807">
        <v>0</v>
      </c>
      <c r="Z19" s="901"/>
      <c r="AA19" s="805">
        <f t="shared" si="5"/>
        <v>4.75</v>
      </c>
      <c r="AB19" s="806">
        <v>0</v>
      </c>
      <c r="AC19" s="73">
        <v>0</v>
      </c>
      <c r="AD19" s="73">
        <v>0</v>
      </c>
      <c r="AE19" s="73">
        <v>0</v>
      </c>
      <c r="AF19" s="73">
        <v>0</v>
      </c>
      <c r="AG19" s="73">
        <v>0</v>
      </c>
      <c r="AH19" s="73">
        <v>0</v>
      </c>
      <c r="AI19" s="73">
        <v>0</v>
      </c>
      <c r="AJ19" s="73">
        <v>1203394.81233031</v>
      </c>
      <c r="AK19" s="73">
        <v>1644216.3337498801</v>
      </c>
      <c r="AL19" s="73">
        <v>1619640.6266016001</v>
      </c>
      <c r="AM19" s="73">
        <v>1516703.3632670799</v>
      </c>
      <c r="AN19" s="73">
        <v>1397604.9702756701</v>
      </c>
      <c r="AO19" s="73">
        <v>1467439.33577995</v>
      </c>
      <c r="AP19" s="73">
        <v>1868133.7025953101</v>
      </c>
      <c r="AQ19" s="73">
        <v>1982137.2173887801</v>
      </c>
      <c r="AR19" s="73">
        <v>1992596.7153539299</v>
      </c>
      <c r="AS19" s="73">
        <v>0</v>
      </c>
      <c r="AT19" s="73">
        <v>0</v>
      </c>
      <c r="AU19" s="73">
        <v>0</v>
      </c>
      <c r="AV19" s="807">
        <v>0</v>
      </c>
    </row>
    <row r="20" spans="1:48" x14ac:dyDescent="0.35">
      <c r="A20" s="901"/>
      <c r="B20" s="805">
        <f t="shared" si="4"/>
        <v>5.25</v>
      </c>
      <c r="C20" s="806">
        <v>0</v>
      </c>
      <c r="D20" s="73">
        <v>0</v>
      </c>
      <c r="E20" s="73">
        <v>0</v>
      </c>
      <c r="F20" s="73">
        <v>0</v>
      </c>
      <c r="G20" s="73">
        <v>0</v>
      </c>
      <c r="H20" s="73">
        <v>0</v>
      </c>
      <c r="I20" s="73">
        <v>0</v>
      </c>
      <c r="J20" s="73">
        <v>0</v>
      </c>
      <c r="K20" s="73">
        <v>0</v>
      </c>
      <c r="L20" s="73">
        <v>269.84455726565801</v>
      </c>
      <c r="M20" s="73">
        <v>288.525204661852</v>
      </c>
      <c r="N20" s="73">
        <v>289.519508069604</v>
      </c>
      <c r="O20" s="73">
        <v>283.09418300542501</v>
      </c>
      <c r="P20" s="73">
        <v>274.38931592457902</v>
      </c>
      <c r="Q20" s="73">
        <v>251.97835587891799</v>
      </c>
      <c r="R20" s="73">
        <v>236.211943444224</v>
      </c>
      <c r="S20" s="73">
        <v>0</v>
      </c>
      <c r="T20" s="73">
        <v>0</v>
      </c>
      <c r="U20" s="73">
        <v>0</v>
      </c>
      <c r="V20" s="73">
        <v>0</v>
      </c>
      <c r="W20" s="807">
        <v>0</v>
      </c>
      <c r="Z20" s="901"/>
      <c r="AA20" s="805">
        <f t="shared" si="5"/>
        <v>5.25</v>
      </c>
      <c r="AB20" s="806">
        <v>0</v>
      </c>
      <c r="AC20" s="73">
        <v>0</v>
      </c>
      <c r="AD20" s="73">
        <v>0</v>
      </c>
      <c r="AE20" s="73">
        <v>0</v>
      </c>
      <c r="AF20" s="73">
        <v>0</v>
      </c>
      <c r="AG20" s="73">
        <v>0</v>
      </c>
      <c r="AH20" s="73">
        <v>0</v>
      </c>
      <c r="AI20" s="73">
        <v>0</v>
      </c>
      <c r="AJ20" s="73">
        <v>0</v>
      </c>
      <c r="AK20" s="73">
        <v>1901652.0653174301</v>
      </c>
      <c r="AL20" s="73">
        <v>1897375.9158610899</v>
      </c>
      <c r="AM20" s="73">
        <v>1781714.6152526999</v>
      </c>
      <c r="AN20" s="73">
        <v>1669841.06052294</v>
      </c>
      <c r="AO20" s="73">
        <v>1765893.5797189199</v>
      </c>
      <c r="AP20" s="73">
        <v>2205987.8022830398</v>
      </c>
      <c r="AQ20" s="73">
        <v>2383717.8600224899</v>
      </c>
      <c r="AR20" s="73">
        <v>0</v>
      </c>
      <c r="AS20" s="73">
        <v>0</v>
      </c>
      <c r="AT20" s="73">
        <v>0</v>
      </c>
      <c r="AU20" s="73">
        <v>0</v>
      </c>
      <c r="AV20" s="807">
        <v>0</v>
      </c>
    </row>
    <row r="21" spans="1:48" x14ac:dyDescent="0.35">
      <c r="A21" s="901"/>
      <c r="B21" s="805">
        <f t="shared" si="4"/>
        <v>5.75</v>
      </c>
      <c r="C21" s="806">
        <v>0</v>
      </c>
      <c r="D21" s="73">
        <v>0</v>
      </c>
      <c r="E21" s="73">
        <v>0</v>
      </c>
      <c r="F21" s="73">
        <v>0</v>
      </c>
      <c r="G21" s="73">
        <v>0</v>
      </c>
      <c r="H21" s="73">
        <v>0</v>
      </c>
      <c r="I21" s="73">
        <v>0</v>
      </c>
      <c r="J21" s="73">
        <v>0</v>
      </c>
      <c r="K21" s="73">
        <v>0</v>
      </c>
      <c r="L21" s="73">
        <v>0</v>
      </c>
      <c r="M21" s="73">
        <v>0</v>
      </c>
      <c r="N21" s="73">
        <v>341.20864627371799</v>
      </c>
      <c r="O21" s="73">
        <v>336.56916517109698</v>
      </c>
      <c r="P21" s="73">
        <v>327.905753417916</v>
      </c>
      <c r="Q21" s="73">
        <v>286.88951750791398</v>
      </c>
      <c r="R21" s="73">
        <v>260.88839602287698</v>
      </c>
      <c r="S21" s="73">
        <v>0</v>
      </c>
      <c r="T21" s="73">
        <v>0</v>
      </c>
      <c r="U21" s="73">
        <v>0</v>
      </c>
      <c r="V21" s="73">
        <v>0</v>
      </c>
      <c r="W21" s="807">
        <v>0</v>
      </c>
      <c r="Z21" s="901"/>
      <c r="AA21" s="805">
        <f t="shared" si="5"/>
        <v>5.75</v>
      </c>
      <c r="AB21" s="806">
        <v>0</v>
      </c>
      <c r="AC21" s="73">
        <v>0</v>
      </c>
      <c r="AD21" s="73">
        <v>0</v>
      </c>
      <c r="AE21" s="73">
        <v>0</v>
      </c>
      <c r="AF21" s="73">
        <v>0</v>
      </c>
      <c r="AG21" s="73">
        <v>0</v>
      </c>
      <c r="AH21" s="73">
        <v>0</v>
      </c>
      <c r="AI21" s="73">
        <v>0</v>
      </c>
      <c r="AJ21" s="73">
        <v>0</v>
      </c>
      <c r="AK21" s="73">
        <v>0</v>
      </c>
      <c r="AL21" s="73">
        <v>0</v>
      </c>
      <c r="AM21" s="73">
        <v>2038858.71177921</v>
      </c>
      <c r="AN21" s="73">
        <v>1929029.09231934</v>
      </c>
      <c r="AO21" s="73">
        <v>2061310.2276739499</v>
      </c>
      <c r="AP21" s="73">
        <v>2517240.1820195001</v>
      </c>
      <c r="AQ21" s="73">
        <v>2734686.1617228799</v>
      </c>
      <c r="AR21" s="73">
        <v>0</v>
      </c>
      <c r="AS21" s="73">
        <v>0</v>
      </c>
      <c r="AT21" s="73">
        <v>0</v>
      </c>
      <c r="AU21" s="73">
        <v>0</v>
      </c>
      <c r="AV21" s="807">
        <v>0</v>
      </c>
    </row>
    <row r="22" spans="1:48" x14ac:dyDescent="0.35">
      <c r="A22" s="901"/>
      <c r="B22" s="805">
        <f t="shared" si="4"/>
        <v>6.25</v>
      </c>
      <c r="C22" s="806">
        <v>0</v>
      </c>
      <c r="D22" s="73">
        <v>0</v>
      </c>
      <c r="E22" s="73">
        <v>0</v>
      </c>
      <c r="F22" s="73">
        <v>0</v>
      </c>
      <c r="G22" s="73">
        <v>0</v>
      </c>
      <c r="H22" s="73">
        <v>0</v>
      </c>
      <c r="I22" s="73">
        <v>0</v>
      </c>
      <c r="J22" s="73">
        <v>0</v>
      </c>
      <c r="K22" s="73">
        <v>0</v>
      </c>
      <c r="L22" s="73">
        <v>0</v>
      </c>
      <c r="M22" s="73">
        <v>0</v>
      </c>
      <c r="N22" s="73">
        <v>0</v>
      </c>
      <c r="O22" s="73">
        <v>387.29683209772202</v>
      </c>
      <c r="P22" s="73">
        <v>377.356449135471</v>
      </c>
      <c r="Q22" s="73">
        <v>320.64531053163302</v>
      </c>
      <c r="R22" s="73">
        <v>283.04323432997199</v>
      </c>
      <c r="S22" s="73">
        <v>0</v>
      </c>
      <c r="T22" s="73">
        <v>0</v>
      </c>
      <c r="U22" s="73">
        <v>0</v>
      </c>
      <c r="V22" s="73">
        <v>0</v>
      </c>
      <c r="W22" s="807">
        <v>0</v>
      </c>
      <c r="Z22" s="901"/>
      <c r="AA22" s="805">
        <f t="shared" si="5"/>
        <v>6.25</v>
      </c>
      <c r="AB22" s="806">
        <v>0</v>
      </c>
      <c r="AC22" s="73">
        <v>0</v>
      </c>
      <c r="AD22" s="73">
        <v>0</v>
      </c>
      <c r="AE22" s="73">
        <v>0</v>
      </c>
      <c r="AF22" s="73">
        <v>0</v>
      </c>
      <c r="AG22" s="73">
        <v>0</v>
      </c>
      <c r="AH22" s="73">
        <v>0</v>
      </c>
      <c r="AI22" s="73">
        <v>0</v>
      </c>
      <c r="AJ22" s="73">
        <v>0</v>
      </c>
      <c r="AK22" s="73">
        <v>0</v>
      </c>
      <c r="AL22" s="73">
        <v>0</v>
      </c>
      <c r="AM22" s="73">
        <v>0</v>
      </c>
      <c r="AN22" s="73">
        <v>2213410.5097165499</v>
      </c>
      <c r="AO22" s="73">
        <v>2394060.8148679701</v>
      </c>
      <c r="AP22" s="73">
        <v>2811775.7919894801</v>
      </c>
      <c r="AQ22" s="73">
        <v>3055288.1485963599</v>
      </c>
      <c r="AR22" s="73">
        <v>0</v>
      </c>
      <c r="AS22" s="73">
        <v>0</v>
      </c>
      <c r="AT22" s="73">
        <v>0</v>
      </c>
      <c r="AU22" s="73">
        <v>0</v>
      </c>
      <c r="AV22" s="807">
        <v>0</v>
      </c>
    </row>
    <row r="23" spans="1:48" x14ac:dyDescent="0.35">
      <c r="A23" s="901"/>
      <c r="B23" s="805">
        <f t="shared" si="4"/>
        <v>6.75</v>
      </c>
      <c r="C23" s="806">
        <v>0</v>
      </c>
      <c r="D23" s="73">
        <v>0</v>
      </c>
      <c r="E23" s="73">
        <v>0</v>
      </c>
      <c r="F23" s="73">
        <v>0</v>
      </c>
      <c r="G23" s="73">
        <v>0</v>
      </c>
      <c r="H23" s="73">
        <v>0</v>
      </c>
      <c r="I23" s="73">
        <v>0</v>
      </c>
      <c r="J23" s="73">
        <v>0</v>
      </c>
      <c r="K23" s="73">
        <v>0</v>
      </c>
      <c r="L23" s="73">
        <v>0</v>
      </c>
      <c r="M23" s="73">
        <v>0</v>
      </c>
      <c r="N23" s="73">
        <v>0</v>
      </c>
      <c r="O23" s="73">
        <v>0</v>
      </c>
      <c r="P23" s="73">
        <v>423.19406696166402</v>
      </c>
      <c r="Q23" s="73">
        <v>353.67969487976899</v>
      </c>
      <c r="R23" s="73">
        <v>0</v>
      </c>
      <c r="S23" s="73">
        <v>0</v>
      </c>
      <c r="T23" s="73">
        <v>0</v>
      </c>
      <c r="U23" s="73">
        <v>0</v>
      </c>
      <c r="V23" s="73">
        <v>0</v>
      </c>
      <c r="W23" s="807">
        <v>0</v>
      </c>
      <c r="Z23" s="901"/>
      <c r="AA23" s="805">
        <f t="shared" si="5"/>
        <v>6.75</v>
      </c>
      <c r="AB23" s="806">
        <v>0</v>
      </c>
      <c r="AC23" s="73">
        <v>0</v>
      </c>
      <c r="AD23" s="73">
        <v>0</v>
      </c>
      <c r="AE23" s="73">
        <v>0</v>
      </c>
      <c r="AF23" s="73">
        <v>0</v>
      </c>
      <c r="AG23" s="73">
        <v>0</v>
      </c>
      <c r="AH23" s="73">
        <v>0</v>
      </c>
      <c r="AI23" s="73">
        <v>0</v>
      </c>
      <c r="AJ23" s="73">
        <v>0</v>
      </c>
      <c r="AK23" s="73">
        <v>0</v>
      </c>
      <c r="AL23" s="73">
        <v>0</v>
      </c>
      <c r="AM23" s="73">
        <v>0</v>
      </c>
      <c r="AN23" s="73">
        <v>0</v>
      </c>
      <c r="AO23" s="73">
        <v>2702480.1697897902</v>
      </c>
      <c r="AP23" s="73">
        <v>3094898.5035246601</v>
      </c>
      <c r="AQ23" s="73">
        <v>0</v>
      </c>
      <c r="AR23" s="73">
        <v>0</v>
      </c>
      <c r="AS23" s="73">
        <v>0</v>
      </c>
      <c r="AT23" s="73">
        <v>0</v>
      </c>
      <c r="AU23" s="73">
        <v>0</v>
      </c>
      <c r="AV23" s="807">
        <v>0</v>
      </c>
    </row>
    <row r="24" spans="1:48" x14ac:dyDescent="0.35">
      <c r="A24" s="901"/>
      <c r="B24" s="805">
        <f t="shared" si="4"/>
        <v>7.25</v>
      </c>
      <c r="C24" s="806">
        <v>0</v>
      </c>
      <c r="D24" s="73">
        <v>0</v>
      </c>
      <c r="E24" s="73">
        <v>0</v>
      </c>
      <c r="F24" s="73">
        <v>0</v>
      </c>
      <c r="G24" s="73">
        <v>0</v>
      </c>
      <c r="H24" s="73">
        <v>0</v>
      </c>
      <c r="I24" s="73">
        <v>0</v>
      </c>
      <c r="J24" s="73">
        <v>0</v>
      </c>
      <c r="K24" s="73">
        <v>0</v>
      </c>
      <c r="L24" s="73">
        <v>0</v>
      </c>
      <c r="M24" s="73">
        <v>0</v>
      </c>
      <c r="N24" s="73">
        <v>0</v>
      </c>
      <c r="O24" s="73">
        <v>0</v>
      </c>
      <c r="P24" s="73">
        <v>0</v>
      </c>
      <c r="Q24" s="73">
        <v>0</v>
      </c>
      <c r="R24" s="73">
        <v>0</v>
      </c>
      <c r="S24" s="73">
        <v>0</v>
      </c>
      <c r="T24" s="73">
        <v>0</v>
      </c>
      <c r="U24" s="73">
        <v>0</v>
      </c>
      <c r="V24" s="73">
        <v>0</v>
      </c>
      <c r="W24" s="807">
        <v>0</v>
      </c>
      <c r="Z24" s="901"/>
      <c r="AA24" s="805">
        <f t="shared" si="5"/>
        <v>7.25</v>
      </c>
      <c r="AB24" s="806">
        <v>0</v>
      </c>
      <c r="AC24" s="73">
        <v>0</v>
      </c>
      <c r="AD24" s="73">
        <v>0</v>
      </c>
      <c r="AE24" s="73">
        <v>0</v>
      </c>
      <c r="AF24" s="73">
        <v>0</v>
      </c>
      <c r="AG24" s="73">
        <v>0</v>
      </c>
      <c r="AH24" s="73">
        <v>0</v>
      </c>
      <c r="AI24" s="73">
        <v>0</v>
      </c>
      <c r="AJ24" s="73">
        <v>0</v>
      </c>
      <c r="AK24" s="73">
        <v>0</v>
      </c>
      <c r="AL24" s="73">
        <v>0</v>
      </c>
      <c r="AM24" s="73">
        <v>0</v>
      </c>
      <c r="AN24" s="73">
        <v>0</v>
      </c>
      <c r="AO24" s="73">
        <v>0</v>
      </c>
      <c r="AP24" s="73">
        <v>0</v>
      </c>
      <c r="AQ24" s="73">
        <v>0</v>
      </c>
      <c r="AR24" s="73">
        <v>0</v>
      </c>
      <c r="AS24" s="73">
        <v>0</v>
      </c>
      <c r="AT24" s="73">
        <v>0</v>
      </c>
      <c r="AU24" s="73">
        <v>0</v>
      </c>
      <c r="AV24" s="807">
        <v>0</v>
      </c>
    </row>
    <row r="25" spans="1:48" x14ac:dyDescent="0.35">
      <c r="A25" s="901"/>
      <c r="B25" s="805">
        <f t="shared" si="4"/>
        <v>7.75</v>
      </c>
      <c r="C25" s="806">
        <v>0</v>
      </c>
      <c r="D25" s="73">
        <v>0</v>
      </c>
      <c r="E25" s="73">
        <v>0</v>
      </c>
      <c r="F25" s="73">
        <v>0</v>
      </c>
      <c r="G25" s="73">
        <v>0</v>
      </c>
      <c r="H25" s="73">
        <v>0</v>
      </c>
      <c r="I25" s="73">
        <v>0</v>
      </c>
      <c r="J25" s="73">
        <v>0</v>
      </c>
      <c r="K25" s="73">
        <v>0</v>
      </c>
      <c r="L25" s="73">
        <v>0</v>
      </c>
      <c r="M25" s="73">
        <v>0</v>
      </c>
      <c r="N25" s="73">
        <v>0</v>
      </c>
      <c r="O25" s="73">
        <v>0</v>
      </c>
      <c r="P25" s="73">
        <v>0</v>
      </c>
      <c r="Q25" s="73">
        <v>0</v>
      </c>
      <c r="R25" s="73">
        <v>0</v>
      </c>
      <c r="S25" s="73">
        <v>0</v>
      </c>
      <c r="T25" s="73">
        <v>0</v>
      </c>
      <c r="U25" s="73">
        <v>0</v>
      </c>
      <c r="V25" s="73">
        <v>0</v>
      </c>
      <c r="W25" s="807">
        <v>0</v>
      </c>
      <c r="Z25" s="901"/>
      <c r="AA25" s="805">
        <f t="shared" si="5"/>
        <v>7.75</v>
      </c>
      <c r="AB25" s="806">
        <v>0</v>
      </c>
      <c r="AC25" s="73">
        <v>0</v>
      </c>
      <c r="AD25" s="73">
        <v>0</v>
      </c>
      <c r="AE25" s="73">
        <v>0</v>
      </c>
      <c r="AF25" s="73">
        <v>0</v>
      </c>
      <c r="AG25" s="73">
        <v>0</v>
      </c>
      <c r="AH25" s="73">
        <v>0</v>
      </c>
      <c r="AI25" s="73">
        <v>0</v>
      </c>
      <c r="AJ25" s="73">
        <v>0</v>
      </c>
      <c r="AK25" s="73">
        <v>0</v>
      </c>
      <c r="AL25" s="73">
        <v>0</v>
      </c>
      <c r="AM25" s="73">
        <v>0</v>
      </c>
      <c r="AN25" s="73">
        <v>0</v>
      </c>
      <c r="AO25" s="73">
        <v>0</v>
      </c>
      <c r="AP25" s="73">
        <v>0</v>
      </c>
      <c r="AQ25" s="73">
        <v>0</v>
      </c>
      <c r="AR25" s="73">
        <v>0</v>
      </c>
      <c r="AS25" s="73">
        <v>0</v>
      </c>
      <c r="AT25" s="73">
        <v>0</v>
      </c>
      <c r="AU25" s="73">
        <v>0</v>
      </c>
      <c r="AV25" s="807">
        <v>0</v>
      </c>
    </row>
    <row r="26" spans="1:48" x14ac:dyDescent="0.35">
      <c r="A26" s="901"/>
      <c r="B26" s="805">
        <f t="shared" si="4"/>
        <v>8.25</v>
      </c>
      <c r="C26" s="806">
        <v>0</v>
      </c>
      <c r="D26" s="73">
        <v>0</v>
      </c>
      <c r="E26" s="73">
        <v>0</v>
      </c>
      <c r="F26" s="73">
        <v>0</v>
      </c>
      <c r="G26" s="73">
        <v>0</v>
      </c>
      <c r="H26" s="73">
        <v>0</v>
      </c>
      <c r="I26" s="73">
        <v>0</v>
      </c>
      <c r="J26" s="73">
        <v>0</v>
      </c>
      <c r="K26" s="73">
        <v>0</v>
      </c>
      <c r="L26" s="73">
        <v>0</v>
      </c>
      <c r="M26" s="73">
        <v>0</v>
      </c>
      <c r="N26" s="73">
        <v>0</v>
      </c>
      <c r="O26" s="73">
        <v>0</v>
      </c>
      <c r="P26" s="73">
        <v>0</v>
      </c>
      <c r="Q26" s="73">
        <v>0</v>
      </c>
      <c r="R26" s="73">
        <v>0</v>
      </c>
      <c r="S26" s="73">
        <v>0</v>
      </c>
      <c r="T26" s="73">
        <v>0</v>
      </c>
      <c r="U26" s="73">
        <v>0</v>
      </c>
      <c r="V26" s="73">
        <v>0</v>
      </c>
      <c r="W26" s="807">
        <v>0</v>
      </c>
      <c r="Z26" s="901"/>
      <c r="AA26" s="805">
        <f t="shared" si="5"/>
        <v>8.25</v>
      </c>
      <c r="AB26" s="806">
        <v>0</v>
      </c>
      <c r="AC26" s="73">
        <v>0</v>
      </c>
      <c r="AD26" s="73">
        <v>0</v>
      </c>
      <c r="AE26" s="73">
        <v>0</v>
      </c>
      <c r="AF26" s="73">
        <v>0</v>
      </c>
      <c r="AG26" s="73">
        <v>0</v>
      </c>
      <c r="AH26" s="73">
        <v>0</v>
      </c>
      <c r="AI26" s="73">
        <v>0</v>
      </c>
      <c r="AJ26" s="73">
        <v>0</v>
      </c>
      <c r="AK26" s="73">
        <v>0</v>
      </c>
      <c r="AL26" s="73">
        <v>0</v>
      </c>
      <c r="AM26" s="73">
        <v>0</v>
      </c>
      <c r="AN26" s="73">
        <v>0</v>
      </c>
      <c r="AO26" s="73">
        <v>0</v>
      </c>
      <c r="AP26" s="73">
        <v>0</v>
      </c>
      <c r="AQ26" s="73">
        <v>0</v>
      </c>
      <c r="AR26" s="73">
        <v>0</v>
      </c>
      <c r="AS26" s="73">
        <v>0</v>
      </c>
      <c r="AT26" s="73">
        <v>0</v>
      </c>
      <c r="AU26" s="73">
        <v>0</v>
      </c>
      <c r="AV26" s="807">
        <v>0</v>
      </c>
    </row>
    <row r="27" spans="1:48" x14ac:dyDescent="0.35">
      <c r="A27" s="901"/>
      <c r="B27" s="805">
        <f t="shared" si="4"/>
        <v>8.75</v>
      </c>
      <c r="C27" s="806">
        <v>0</v>
      </c>
      <c r="D27" s="73">
        <v>0</v>
      </c>
      <c r="E27" s="73">
        <v>0</v>
      </c>
      <c r="F27" s="73">
        <v>0</v>
      </c>
      <c r="G27" s="73">
        <v>0</v>
      </c>
      <c r="H27" s="73">
        <v>0</v>
      </c>
      <c r="I27" s="73">
        <v>0</v>
      </c>
      <c r="J27" s="73">
        <v>0</v>
      </c>
      <c r="K27" s="73">
        <v>0</v>
      </c>
      <c r="L27" s="73">
        <v>0</v>
      </c>
      <c r="M27" s="73">
        <v>0</v>
      </c>
      <c r="N27" s="73">
        <v>0</v>
      </c>
      <c r="O27" s="73">
        <v>0</v>
      </c>
      <c r="P27" s="73">
        <v>0</v>
      </c>
      <c r="Q27" s="73">
        <v>0</v>
      </c>
      <c r="R27" s="73">
        <v>0</v>
      </c>
      <c r="S27" s="73">
        <v>0</v>
      </c>
      <c r="T27" s="73">
        <v>0</v>
      </c>
      <c r="U27" s="73">
        <v>0</v>
      </c>
      <c r="V27" s="73">
        <v>0</v>
      </c>
      <c r="W27" s="807">
        <v>0</v>
      </c>
      <c r="Z27" s="901"/>
      <c r="AA27" s="805">
        <f t="shared" si="5"/>
        <v>8.75</v>
      </c>
      <c r="AB27" s="806">
        <v>0</v>
      </c>
      <c r="AC27" s="73">
        <v>0</v>
      </c>
      <c r="AD27" s="73">
        <v>0</v>
      </c>
      <c r="AE27" s="73">
        <v>0</v>
      </c>
      <c r="AF27" s="73">
        <v>0</v>
      </c>
      <c r="AG27" s="73">
        <v>0</v>
      </c>
      <c r="AH27" s="73">
        <v>0</v>
      </c>
      <c r="AI27" s="73">
        <v>0</v>
      </c>
      <c r="AJ27" s="73">
        <v>0</v>
      </c>
      <c r="AK27" s="73">
        <v>0</v>
      </c>
      <c r="AL27" s="73">
        <v>0</v>
      </c>
      <c r="AM27" s="73">
        <v>0</v>
      </c>
      <c r="AN27" s="73">
        <v>0</v>
      </c>
      <c r="AO27" s="73">
        <v>0</v>
      </c>
      <c r="AP27" s="73">
        <v>0</v>
      </c>
      <c r="AQ27" s="73">
        <v>0</v>
      </c>
      <c r="AR27" s="73">
        <v>0</v>
      </c>
      <c r="AS27" s="73">
        <v>0</v>
      </c>
      <c r="AT27" s="73">
        <v>0</v>
      </c>
      <c r="AU27" s="73">
        <v>0</v>
      </c>
      <c r="AV27" s="807">
        <v>0</v>
      </c>
    </row>
    <row r="28" spans="1:48" x14ac:dyDescent="0.35">
      <c r="A28" s="901"/>
      <c r="B28" s="805">
        <f t="shared" si="4"/>
        <v>9.25</v>
      </c>
      <c r="C28" s="806">
        <v>0</v>
      </c>
      <c r="D28" s="73">
        <v>0</v>
      </c>
      <c r="E28" s="73">
        <v>0</v>
      </c>
      <c r="F28" s="73">
        <v>0</v>
      </c>
      <c r="G28" s="73">
        <v>0</v>
      </c>
      <c r="H28" s="73">
        <v>0</v>
      </c>
      <c r="I28" s="73">
        <v>0</v>
      </c>
      <c r="J28" s="73">
        <v>0</v>
      </c>
      <c r="K28" s="73">
        <v>0</v>
      </c>
      <c r="L28" s="73">
        <v>0</v>
      </c>
      <c r="M28" s="73">
        <v>0</v>
      </c>
      <c r="N28" s="73">
        <v>0</v>
      </c>
      <c r="O28" s="73">
        <v>0</v>
      </c>
      <c r="P28" s="73">
        <v>0</v>
      </c>
      <c r="Q28" s="73">
        <v>0</v>
      </c>
      <c r="R28" s="73">
        <v>0</v>
      </c>
      <c r="S28" s="73">
        <v>0</v>
      </c>
      <c r="T28" s="73">
        <v>0</v>
      </c>
      <c r="U28" s="73">
        <v>0</v>
      </c>
      <c r="V28" s="73">
        <v>0</v>
      </c>
      <c r="W28" s="807">
        <v>0</v>
      </c>
      <c r="Z28" s="901"/>
      <c r="AA28" s="805">
        <f t="shared" si="5"/>
        <v>9.25</v>
      </c>
      <c r="AB28" s="806">
        <v>0</v>
      </c>
      <c r="AC28" s="73">
        <v>0</v>
      </c>
      <c r="AD28" s="73">
        <v>0</v>
      </c>
      <c r="AE28" s="73">
        <v>0</v>
      </c>
      <c r="AF28" s="73">
        <v>0</v>
      </c>
      <c r="AG28" s="73">
        <v>0</v>
      </c>
      <c r="AH28" s="73">
        <v>0</v>
      </c>
      <c r="AI28" s="73">
        <v>0</v>
      </c>
      <c r="AJ28" s="73">
        <v>0</v>
      </c>
      <c r="AK28" s="73">
        <v>0</v>
      </c>
      <c r="AL28" s="73">
        <v>0</v>
      </c>
      <c r="AM28" s="73">
        <v>0</v>
      </c>
      <c r="AN28" s="73">
        <v>0</v>
      </c>
      <c r="AO28" s="73">
        <v>0</v>
      </c>
      <c r="AP28" s="73">
        <v>0</v>
      </c>
      <c r="AQ28" s="73">
        <v>0</v>
      </c>
      <c r="AR28" s="73">
        <v>0</v>
      </c>
      <c r="AS28" s="73">
        <v>0</v>
      </c>
      <c r="AT28" s="73">
        <v>0</v>
      </c>
      <c r="AU28" s="73">
        <v>0</v>
      </c>
      <c r="AV28" s="807">
        <v>0</v>
      </c>
    </row>
    <row r="29" spans="1:48" ht="15" thickBot="1" x14ac:dyDescent="0.4">
      <c r="A29" s="902"/>
      <c r="B29" s="808">
        <f t="shared" si="4"/>
        <v>9.75</v>
      </c>
      <c r="C29" s="809">
        <v>0</v>
      </c>
      <c r="D29" s="810">
        <v>0</v>
      </c>
      <c r="E29" s="810">
        <v>0</v>
      </c>
      <c r="F29" s="810">
        <v>0</v>
      </c>
      <c r="G29" s="810">
        <v>0</v>
      </c>
      <c r="H29" s="810">
        <v>0</v>
      </c>
      <c r="I29" s="810">
        <v>0</v>
      </c>
      <c r="J29" s="810">
        <v>0</v>
      </c>
      <c r="K29" s="810">
        <v>0</v>
      </c>
      <c r="L29" s="810">
        <v>0</v>
      </c>
      <c r="M29" s="810">
        <v>0</v>
      </c>
      <c r="N29" s="810">
        <v>0</v>
      </c>
      <c r="O29" s="810">
        <v>0</v>
      </c>
      <c r="P29" s="810">
        <v>0</v>
      </c>
      <c r="Q29" s="810">
        <v>0</v>
      </c>
      <c r="R29" s="810">
        <v>0</v>
      </c>
      <c r="S29" s="810">
        <v>0</v>
      </c>
      <c r="T29" s="810">
        <v>0</v>
      </c>
      <c r="U29" s="810">
        <v>0</v>
      </c>
      <c r="V29" s="810">
        <v>0</v>
      </c>
      <c r="W29" s="811">
        <v>0</v>
      </c>
      <c r="Z29" s="902"/>
      <c r="AA29" s="808">
        <f t="shared" si="5"/>
        <v>9.75</v>
      </c>
      <c r="AB29" s="809">
        <v>0</v>
      </c>
      <c r="AC29" s="810">
        <v>0</v>
      </c>
      <c r="AD29" s="810">
        <v>0</v>
      </c>
      <c r="AE29" s="810">
        <v>0</v>
      </c>
      <c r="AF29" s="810">
        <v>0</v>
      </c>
      <c r="AG29" s="810">
        <v>0</v>
      </c>
      <c r="AH29" s="810">
        <v>0</v>
      </c>
      <c r="AI29" s="810">
        <v>0</v>
      </c>
      <c r="AJ29" s="810">
        <v>0</v>
      </c>
      <c r="AK29" s="810">
        <v>0</v>
      </c>
      <c r="AL29" s="810">
        <v>0</v>
      </c>
      <c r="AM29" s="810">
        <v>0</v>
      </c>
      <c r="AN29" s="810">
        <v>0</v>
      </c>
      <c r="AO29" s="810">
        <v>0</v>
      </c>
      <c r="AP29" s="810">
        <v>0</v>
      </c>
      <c r="AQ29" s="810">
        <v>0</v>
      </c>
      <c r="AR29" s="810">
        <v>0</v>
      </c>
      <c r="AS29" s="810">
        <v>0</v>
      </c>
      <c r="AT29" s="810">
        <v>0</v>
      </c>
      <c r="AU29" s="810">
        <v>0</v>
      </c>
      <c r="AV29" s="811">
        <v>0</v>
      </c>
    </row>
    <row r="30" spans="1:48" ht="15" thickBot="1" x14ac:dyDescent="0.4">
      <c r="A30" s="812"/>
      <c r="B30" s="545"/>
      <c r="C30" s="813">
        <f>C9*1.16</f>
        <v>0.57999999999999996</v>
      </c>
      <c r="D30" s="813">
        <f t="shared" ref="D30:W30" si="6">D9*1.16</f>
        <v>1.7399999999999998</v>
      </c>
      <c r="E30" s="813">
        <f t="shared" si="6"/>
        <v>2.9</v>
      </c>
      <c r="F30" s="813">
        <f t="shared" si="6"/>
        <v>4.0599999999999996</v>
      </c>
      <c r="G30" s="813">
        <f t="shared" si="6"/>
        <v>5.22</v>
      </c>
      <c r="H30" s="813">
        <f t="shared" si="6"/>
        <v>6.38</v>
      </c>
      <c r="I30" s="813">
        <f t="shared" si="6"/>
        <v>7.5399999999999991</v>
      </c>
      <c r="J30" s="813">
        <f t="shared" si="6"/>
        <v>8.6999999999999993</v>
      </c>
      <c r="K30" s="813">
        <f t="shared" si="6"/>
        <v>9.86</v>
      </c>
      <c r="L30" s="813">
        <f t="shared" si="6"/>
        <v>11.02</v>
      </c>
      <c r="M30" s="813">
        <f t="shared" si="6"/>
        <v>12.18</v>
      </c>
      <c r="N30" s="813">
        <f t="shared" si="6"/>
        <v>13.34</v>
      </c>
      <c r="O30" s="813">
        <f t="shared" si="6"/>
        <v>14.499999999999998</v>
      </c>
      <c r="P30" s="813">
        <f t="shared" si="6"/>
        <v>15.659999999999998</v>
      </c>
      <c r="Q30" s="813">
        <f t="shared" si="6"/>
        <v>16.82</v>
      </c>
      <c r="R30" s="813">
        <f t="shared" si="6"/>
        <v>17.98</v>
      </c>
      <c r="S30" s="813">
        <f t="shared" si="6"/>
        <v>19.139999999999997</v>
      </c>
      <c r="T30" s="813">
        <f t="shared" si="6"/>
        <v>20.299999999999997</v>
      </c>
      <c r="U30" s="813">
        <f t="shared" si="6"/>
        <v>21.459999999999997</v>
      </c>
      <c r="V30" s="813">
        <f t="shared" si="6"/>
        <v>22.619999999999997</v>
      </c>
      <c r="W30" s="813">
        <f t="shared" si="6"/>
        <v>23.779999999999998</v>
      </c>
      <c r="Z30" s="812"/>
      <c r="AA30" s="545"/>
      <c r="AB30" s="813">
        <f>AB9*1.16</f>
        <v>0.57999999999999996</v>
      </c>
      <c r="AC30" s="813">
        <f t="shared" ref="AC30:AV30" si="7">AC9*1.16</f>
        <v>1.7399999999999998</v>
      </c>
      <c r="AD30" s="813">
        <f t="shared" si="7"/>
        <v>2.9</v>
      </c>
      <c r="AE30" s="813">
        <f t="shared" si="7"/>
        <v>4.0599999999999996</v>
      </c>
      <c r="AF30" s="813">
        <f t="shared" si="7"/>
        <v>5.22</v>
      </c>
      <c r="AG30" s="813">
        <f t="shared" si="7"/>
        <v>6.38</v>
      </c>
      <c r="AH30" s="813">
        <f t="shared" si="7"/>
        <v>7.5399999999999991</v>
      </c>
      <c r="AI30" s="813">
        <f t="shared" si="7"/>
        <v>8.6999999999999993</v>
      </c>
      <c r="AJ30" s="813">
        <f t="shared" si="7"/>
        <v>9.86</v>
      </c>
      <c r="AK30" s="813">
        <f t="shared" si="7"/>
        <v>11.02</v>
      </c>
      <c r="AL30" s="813">
        <f t="shared" si="7"/>
        <v>12.18</v>
      </c>
      <c r="AM30" s="813">
        <f t="shared" si="7"/>
        <v>13.34</v>
      </c>
      <c r="AN30" s="813">
        <f t="shared" si="7"/>
        <v>14.499999999999998</v>
      </c>
      <c r="AO30" s="813">
        <f t="shared" si="7"/>
        <v>15.659999999999998</v>
      </c>
      <c r="AP30" s="813">
        <f t="shared" si="7"/>
        <v>16.82</v>
      </c>
      <c r="AQ30" s="813">
        <f t="shared" si="7"/>
        <v>17.98</v>
      </c>
      <c r="AR30" s="813">
        <f t="shared" si="7"/>
        <v>19.139999999999997</v>
      </c>
      <c r="AS30" s="813">
        <f t="shared" si="7"/>
        <v>20.299999999999997</v>
      </c>
      <c r="AT30" s="813">
        <f t="shared" si="7"/>
        <v>21.459999999999997</v>
      </c>
      <c r="AU30" s="813">
        <f t="shared" si="7"/>
        <v>22.619999999999997</v>
      </c>
      <c r="AV30" s="813">
        <f t="shared" si="7"/>
        <v>23.779999999999998</v>
      </c>
    </row>
    <row r="31" spans="1:48" ht="15.75" customHeight="1" thickBot="1" x14ac:dyDescent="0.4">
      <c r="A31" s="812"/>
      <c r="B31" s="545"/>
      <c r="C31" s="893" t="s">
        <v>1375</v>
      </c>
      <c r="D31" s="894"/>
      <c r="E31" s="894"/>
      <c r="F31" s="894"/>
      <c r="G31" s="894"/>
      <c r="H31" s="894"/>
      <c r="I31" s="894"/>
      <c r="J31" s="894"/>
      <c r="K31" s="894"/>
      <c r="L31" s="894"/>
      <c r="M31" s="894"/>
      <c r="N31" s="894"/>
      <c r="O31" s="894"/>
      <c r="P31" s="894"/>
      <c r="Q31" s="894"/>
      <c r="R31" s="894"/>
      <c r="S31" s="894"/>
      <c r="T31" s="894"/>
      <c r="U31" s="894"/>
      <c r="V31" s="894"/>
      <c r="W31" s="895"/>
      <c r="Z31" s="812"/>
      <c r="AA31" s="545"/>
      <c r="AB31" s="893" t="s">
        <v>1375</v>
      </c>
      <c r="AC31" s="894"/>
      <c r="AD31" s="894"/>
      <c r="AE31" s="894"/>
      <c r="AF31" s="894"/>
      <c r="AG31" s="894"/>
      <c r="AH31" s="894"/>
      <c r="AI31" s="894"/>
      <c r="AJ31" s="894"/>
      <c r="AK31" s="894"/>
      <c r="AL31" s="894"/>
      <c r="AM31" s="894"/>
      <c r="AN31" s="894"/>
      <c r="AO31" s="894"/>
      <c r="AP31" s="894"/>
      <c r="AQ31" s="894"/>
      <c r="AR31" s="894"/>
      <c r="AS31" s="894"/>
      <c r="AT31" s="894"/>
      <c r="AU31" s="894"/>
      <c r="AV31" s="895"/>
    </row>
    <row r="32" spans="1:48" x14ac:dyDescent="0.35">
      <c r="A32" s="812"/>
      <c r="B32" s="545"/>
      <c r="C32" s="814"/>
      <c r="D32" s="814"/>
      <c r="E32" s="814"/>
      <c r="F32" s="814"/>
      <c r="G32" s="814"/>
      <c r="H32" s="814"/>
      <c r="I32" s="814"/>
      <c r="J32" s="814"/>
      <c r="K32" s="814"/>
      <c r="L32" s="814"/>
      <c r="M32" s="814"/>
      <c r="N32" s="814"/>
      <c r="O32" s="814"/>
      <c r="P32" s="814"/>
      <c r="Q32" s="814"/>
      <c r="R32" s="814"/>
      <c r="S32" s="814"/>
      <c r="T32" s="814"/>
      <c r="U32" s="814"/>
      <c r="V32" s="814"/>
      <c r="W32" s="814"/>
    </row>
    <row r="33" spans="1:23" x14ac:dyDescent="0.35">
      <c r="A33" s="812"/>
      <c r="B33" s="545"/>
      <c r="C33" s="814"/>
      <c r="D33" s="814"/>
      <c r="E33" s="814"/>
      <c r="F33" s="814"/>
      <c r="G33" s="814"/>
      <c r="H33" s="814"/>
      <c r="I33" s="814"/>
      <c r="J33" s="814"/>
      <c r="K33" s="814"/>
      <c r="L33" s="814"/>
      <c r="M33" s="814"/>
      <c r="N33" s="814"/>
      <c r="O33" s="814"/>
      <c r="P33" s="814"/>
      <c r="Q33" s="814"/>
      <c r="R33" s="814"/>
      <c r="S33" s="814"/>
      <c r="T33" s="814"/>
      <c r="U33" s="814"/>
      <c r="V33" s="814"/>
      <c r="W33" s="814"/>
    </row>
    <row r="34" spans="1:23" x14ac:dyDescent="0.35">
      <c r="A34" s="725" t="s">
        <v>1376</v>
      </c>
    </row>
    <row r="35" spans="1:23" ht="15.75" customHeight="1" thickBot="1" x14ac:dyDescent="0.4"/>
    <row r="36" spans="1:23" ht="15" thickBot="1" x14ac:dyDescent="0.4">
      <c r="A36" s="896"/>
      <c r="B36" s="897"/>
      <c r="C36" s="893" t="s">
        <v>1373</v>
      </c>
      <c r="D36" s="894"/>
      <c r="E36" s="894"/>
      <c r="F36" s="894"/>
      <c r="G36" s="894"/>
      <c r="H36" s="894"/>
      <c r="I36" s="894"/>
      <c r="J36" s="894"/>
      <c r="K36" s="894"/>
      <c r="L36" s="894"/>
      <c r="M36" s="894"/>
      <c r="N36" s="894"/>
      <c r="O36" s="894"/>
      <c r="P36" s="894"/>
      <c r="Q36" s="894"/>
      <c r="R36" s="894"/>
      <c r="S36" s="894"/>
      <c r="T36" s="894"/>
      <c r="U36" s="894"/>
      <c r="V36" s="894"/>
      <c r="W36" s="895"/>
    </row>
    <row r="37" spans="1:23" ht="15" thickBot="1" x14ac:dyDescent="0.4">
      <c r="A37" s="898"/>
      <c r="B37" s="899"/>
      <c r="C37" s="798">
        <v>0.5</v>
      </c>
      <c r="D37" s="799">
        <f>C37+1</f>
        <v>1.5</v>
      </c>
      <c r="E37" s="799">
        <f t="shared" ref="E37" si="8">D37+1</f>
        <v>2.5</v>
      </c>
      <c r="F37" s="799">
        <f>E37+1</f>
        <v>3.5</v>
      </c>
      <c r="G37" s="799">
        <f t="shared" ref="G37:W37" si="9">F37+1</f>
        <v>4.5</v>
      </c>
      <c r="H37" s="799">
        <f t="shared" si="9"/>
        <v>5.5</v>
      </c>
      <c r="I37" s="799">
        <f t="shared" si="9"/>
        <v>6.5</v>
      </c>
      <c r="J37" s="799">
        <f t="shared" si="9"/>
        <v>7.5</v>
      </c>
      <c r="K37" s="799">
        <f t="shared" si="9"/>
        <v>8.5</v>
      </c>
      <c r="L37" s="799">
        <f t="shared" si="9"/>
        <v>9.5</v>
      </c>
      <c r="M37" s="799">
        <f t="shared" si="9"/>
        <v>10.5</v>
      </c>
      <c r="N37" s="799">
        <f t="shared" si="9"/>
        <v>11.5</v>
      </c>
      <c r="O37" s="799">
        <f t="shared" si="9"/>
        <v>12.5</v>
      </c>
      <c r="P37" s="799">
        <f t="shared" si="9"/>
        <v>13.5</v>
      </c>
      <c r="Q37" s="799">
        <f t="shared" si="9"/>
        <v>14.5</v>
      </c>
      <c r="R37" s="799">
        <f t="shared" si="9"/>
        <v>15.5</v>
      </c>
      <c r="S37" s="799">
        <f t="shared" si="9"/>
        <v>16.5</v>
      </c>
      <c r="T37" s="799">
        <f t="shared" si="9"/>
        <v>17.5</v>
      </c>
      <c r="U37" s="799">
        <f t="shared" si="9"/>
        <v>18.5</v>
      </c>
      <c r="V37" s="799">
        <f t="shared" si="9"/>
        <v>19.5</v>
      </c>
      <c r="W37" s="800">
        <f t="shared" si="9"/>
        <v>20.5</v>
      </c>
    </row>
    <row r="38" spans="1:23" x14ac:dyDescent="0.35">
      <c r="A38" s="900" t="s">
        <v>1374</v>
      </c>
      <c r="B38" s="801">
        <v>0.25</v>
      </c>
      <c r="C38" s="802">
        <f>IF(C10&lt;$C$1,C10,$C$1)</f>
        <v>0</v>
      </c>
      <c r="D38" s="803">
        <f t="shared" ref="D38:W38" si="10">IF(D10&lt;$C$1,D10,$C$1)</f>
        <v>0</v>
      </c>
      <c r="E38" s="803">
        <f t="shared" si="10"/>
        <v>0</v>
      </c>
      <c r="F38" s="803">
        <f t="shared" si="10"/>
        <v>0</v>
      </c>
      <c r="G38" s="803">
        <f t="shared" si="10"/>
        <v>0</v>
      </c>
      <c r="H38" s="803">
        <f t="shared" si="10"/>
        <v>0</v>
      </c>
      <c r="I38" s="803">
        <f t="shared" si="10"/>
        <v>0</v>
      </c>
      <c r="J38" s="803">
        <f t="shared" si="10"/>
        <v>0.64924241302415397</v>
      </c>
      <c r="K38" s="803">
        <f t="shared" si="10"/>
        <v>0.67777349838037504</v>
      </c>
      <c r="L38" s="803">
        <f t="shared" si="10"/>
        <v>0</v>
      </c>
      <c r="M38" s="803">
        <f t="shared" si="10"/>
        <v>0</v>
      </c>
      <c r="N38" s="803">
        <f t="shared" si="10"/>
        <v>0</v>
      </c>
      <c r="O38" s="803">
        <f t="shared" si="10"/>
        <v>0</v>
      </c>
      <c r="P38" s="803">
        <f t="shared" si="10"/>
        <v>0</v>
      </c>
      <c r="Q38" s="803">
        <f t="shared" si="10"/>
        <v>0</v>
      </c>
      <c r="R38" s="803">
        <f t="shared" si="10"/>
        <v>0</v>
      </c>
      <c r="S38" s="803">
        <f t="shared" si="10"/>
        <v>0</v>
      </c>
      <c r="T38" s="803">
        <f t="shared" si="10"/>
        <v>0</v>
      </c>
      <c r="U38" s="803">
        <f t="shared" si="10"/>
        <v>0</v>
      </c>
      <c r="V38" s="803">
        <f t="shared" si="10"/>
        <v>0</v>
      </c>
      <c r="W38" s="804">
        <f t="shared" si="10"/>
        <v>0</v>
      </c>
    </row>
    <row r="39" spans="1:23" x14ac:dyDescent="0.35">
      <c r="A39" s="901"/>
      <c r="B39" s="805">
        <f>B38+0.5</f>
        <v>0.75</v>
      </c>
      <c r="C39" s="806">
        <f t="shared" ref="C39:W51" si="11">IF(C11&lt;$C$1,C11,$C$1)</f>
        <v>0</v>
      </c>
      <c r="D39" s="73">
        <f t="shared" si="11"/>
        <v>0</v>
      </c>
      <c r="E39" s="73">
        <f t="shared" si="11"/>
        <v>0</v>
      </c>
      <c r="F39" s="73">
        <f t="shared" si="11"/>
        <v>0</v>
      </c>
      <c r="G39" s="73">
        <f t="shared" si="11"/>
        <v>3.5523142603953399</v>
      </c>
      <c r="H39" s="73">
        <f t="shared" si="11"/>
        <v>4.5784742926892896</v>
      </c>
      <c r="I39" s="73">
        <f t="shared" si="11"/>
        <v>5.2048112546688898</v>
      </c>
      <c r="J39" s="73">
        <f t="shared" si="11"/>
        <v>5.8431817172173499</v>
      </c>
      <c r="K39" s="73">
        <f t="shared" si="11"/>
        <v>6.0999614854233402</v>
      </c>
      <c r="L39" s="73">
        <f t="shared" si="11"/>
        <v>6.1079125952391298</v>
      </c>
      <c r="M39" s="73">
        <f t="shared" si="11"/>
        <v>6.0490819998268597</v>
      </c>
      <c r="N39" s="73">
        <f t="shared" si="11"/>
        <v>5.89366579769192</v>
      </c>
      <c r="O39" s="73">
        <f t="shared" si="11"/>
        <v>5.7089721328539698</v>
      </c>
      <c r="P39" s="73">
        <f t="shared" si="11"/>
        <v>0</v>
      </c>
      <c r="Q39" s="73">
        <f t="shared" si="11"/>
        <v>0</v>
      </c>
      <c r="R39" s="73">
        <f t="shared" si="11"/>
        <v>0</v>
      </c>
      <c r="S39" s="73">
        <f t="shared" si="11"/>
        <v>0</v>
      </c>
      <c r="T39" s="73">
        <f t="shared" si="11"/>
        <v>0</v>
      </c>
      <c r="U39" s="73">
        <f t="shared" si="11"/>
        <v>0</v>
      </c>
      <c r="V39" s="73">
        <f t="shared" si="11"/>
        <v>0</v>
      </c>
      <c r="W39" s="807">
        <f t="shared" si="11"/>
        <v>0</v>
      </c>
    </row>
    <row r="40" spans="1:23" x14ac:dyDescent="0.35">
      <c r="A40" s="901"/>
      <c r="B40" s="805">
        <f t="shared" ref="B40:B57" si="12">B39+0.5</f>
        <v>1.25</v>
      </c>
      <c r="C40" s="806">
        <f t="shared" si="11"/>
        <v>0</v>
      </c>
      <c r="D40" s="73">
        <f t="shared" si="11"/>
        <v>0</v>
      </c>
      <c r="E40" s="73">
        <f t="shared" si="11"/>
        <v>0</v>
      </c>
      <c r="F40" s="73">
        <f t="shared" si="11"/>
        <v>0</v>
      </c>
      <c r="G40" s="73">
        <f t="shared" si="11"/>
        <v>9.8675396122092902</v>
      </c>
      <c r="H40" s="73">
        <f t="shared" si="11"/>
        <v>12.7179841463591</v>
      </c>
      <c r="I40" s="73">
        <f t="shared" si="11"/>
        <v>14.457809040747</v>
      </c>
      <c r="J40" s="73">
        <f t="shared" si="11"/>
        <v>16.231060325603799</v>
      </c>
      <c r="K40" s="73">
        <f t="shared" si="11"/>
        <v>16.944337459509299</v>
      </c>
      <c r="L40" s="73">
        <f t="shared" si="11"/>
        <v>16.966423875664301</v>
      </c>
      <c r="M40" s="73">
        <f t="shared" si="11"/>
        <v>16.803005555074598</v>
      </c>
      <c r="N40" s="73">
        <f t="shared" si="11"/>
        <v>16.371293882477499</v>
      </c>
      <c r="O40" s="73">
        <f t="shared" si="11"/>
        <v>15.858255924594401</v>
      </c>
      <c r="P40" s="73">
        <f t="shared" si="11"/>
        <v>15.2100740557508</v>
      </c>
      <c r="Q40" s="73">
        <f t="shared" si="11"/>
        <v>14.9585621676489</v>
      </c>
      <c r="R40" s="73">
        <f t="shared" si="11"/>
        <v>14.248750753560101</v>
      </c>
      <c r="S40" s="73">
        <f t="shared" si="11"/>
        <v>0</v>
      </c>
      <c r="T40" s="73">
        <f t="shared" si="11"/>
        <v>0</v>
      </c>
      <c r="U40" s="73">
        <f t="shared" si="11"/>
        <v>0</v>
      </c>
      <c r="V40" s="73">
        <f t="shared" si="11"/>
        <v>0</v>
      </c>
      <c r="W40" s="807">
        <f t="shared" si="11"/>
        <v>0</v>
      </c>
    </row>
    <row r="41" spans="1:23" x14ac:dyDescent="0.35">
      <c r="A41" s="901"/>
      <c r="B41" s="805">
        <f t="shared" si="12"/>
        <v>1.75</v>
      </c>
      <c r="C41" s="806">
        <f t="shared" si="11"/>
        <v>0</v>
      </c>
      <c r="D41" s="73">
        <f t="shared" si="11"/>
        <v>0</v>
      </c>
      <c r="E41" s="73">
        <f t="shared" si="11"/>
        <v>0</v>
      </c>
      <c r="F41" s="73">
        <f t="shared" si="11"/>
        <v>0</v>
      </c>
      <c r="G41" s="73">
        <f t="shared" si="11"/>
        <v>0</v>
      </c>
      <c r="H41" s="73">
        <f t="shared" si="11"/>
        <v>24.9272489268638</v>
      </c>
      <c r="I41" s="73">
        <f t="shared" si="11"/>
        <v>28.337305719863899</v>
      </c>
      <c r="J41" s="73">
        <f t="shared" si="11"/>
        <v>31.812878238183501</v>
      </c>
      <c r="K41" s="73">
        <f t="shared" si="11"/>
        <v>33.210901420638301</v>
      </c>
      <c r="L41" s="73">
        <f t="shared" si="11"/>
        <v>33.254190796302098</v>
      </c>
      <c r="M41" s="73">
        <f t="shared" si="11"/>
        <v>32.933890887946298</v>
      </c>
      <c r="N41" s="73">
        <f t="shared" si="11"/>
        <v>32.087736009656098</v>
      </c>
      <c r="O41" s="73">
        <f t="shared" si="11"/>
        <v>31.082181612205101</v>
      </c>
      <c r="P41" s="73">
        <f t="shared" si="11"/>
        <v>29.811745149271601</v>
      </c>
      <c r="Q41" s="73">
        <f t="shared" si="11"/>
        <v>29.318781848591801</v>
      </c>
      <c r="R41" s="73">
        <f t="shared" si="11"/>
        <v>27.927551476977801</v>
      </c>
      <c r="S41" s="73">
        <f t="shared" si="11"/>
        <v>0</v>
      </c>
      <c r="T41" s="73">
        <f t="shared" si="11"/>
        <v>0</v>
      </c>
      <c r="U41" s="73">
        <f t="shared" si="11"/>
        <v>0</v>
      </c>
      <c r="V41" s="73">
        <f t="shared" si="11"/>
        <v>0</v>
      </c>
      <c r="W41" s="807">
        <f t="shared" si="11"/>
        <v>0</v>
      </c>
    </row>
    <row r="42" spans="1:23" x14ac:dyDescent="0.35">
      <c r="A42" s="901"/>
      <c r="B42" s="805">
        <f t="shared" si="12"/>
        <v>2.25</v>
      </c>
      <c r="C42" s="806">
        <f t="shared" si="11"/>
        <v>0</v>
      </c>
      <c r="D42" s="73">
        <f t="shared" si="11"/>
        <v>0</v>
      </c>
      <c r="E42" s="73">
        <f t="shared" si="11"/>
        <v>0</v>
      </c>
      <c r="F42" s="73">
        <f t="shared" si="11"/>
        <v>0</v>
      </c>
      <c r="G42" s="73">
        <f t="shared" si="11"/>
        <v>0</v>
      </c>
      <c r="H42" s="73">
        <f t="shared" si="11"/>
        <v>0</v>
      </c>
      <c r="I42" s="73">
        <f t="shared" si="11"/>
        <v>46.843301292020101</v>
      </c>
      <c r="J42" s="73">
        <f t="shared" si="11"/>
        <v>52.588635454956297</v>
      </c>
      <c r="K42" s="73">
        <f t="shared" si="11"/>
        <v>54.899653368810199</v>
      </c>
      <c r="L42" s="73">
        <f t="shared" si="11"/>
        <v>54.971213357152301</v>
      </c>
      <c r="M42" s="73">
        <f t="shared" si="11"/>
        <v>54.441737998441901</v>
      </c>
      <c r="N42" s="73">
        <f t="shared" si="11"/>
        <v>53.042992179227198</v>
      </c>
      <c r="O42" s="73">
        <f t="shared" si="11"/>
        <v>51.380749195685702</v>
      </c>
      <c r="P42" s="73">
        <f t="shared" si="11"/>
        <v>49.280639940632703</v>
      </c>
      <c r="Q42" s="73">
        <f t="shared" si="11"/>
        <v>48.465741423182202</v>
      </c>
      <c r="R42" s="73">
        <f t="shared" si="11"/>
        <v>46.165952441534699</v>
      </c>
      <c r="S42" s="73">
        <f t="shared" si="11"/>
        <v>44.909245227355598</v>
      </c>
      <c r="T42" s="73">
        <f t="shared" si="11"/>
        <v>0</v>
      </c>
      <c r="U42" s="73">
        <f t="shared" si="11"/>
        <v>0</v>
      </c>
      <c r="V42" s="73">
        <f t="shared" si="11"/>
        <v>0</v>
      </c>
      <c r="W42" s="807">
        <f t="shared" si="11"/>
        <v>0</v>
      </c>
    </row>
    <row r="43" spans="1:23" x14ac:dyDescent="0.35">
      <c r="A43" s="901"/>
      <c r="B43" s="805">
        <f t="shared" si="12"/>
        <v>2.75</v>
      </c>
      <c r="C43" s="806">
        <f t="shared" si="11"/>
        <v>0</v>
      </c>
      <c r="D43" s="73">
        <f t="shared" si="11"/>
        <v>0</v>
      </c>
      <c r="E43" s="73">
        <f t="shared" si="11"/>
        <v>0</v>
      </c>
      <c r="F43" s="73">
        <f t="shared" si="11"/>
        <v>0</v>
      </c>
      <c r="G43" s="73">
        <f t="shared" si="11"/>
        <v>0</v>
      </c>
      <c r="H43" s="73">
        <f t="shared" si="11"/>
        <v>0</v>
      </c>
      <c r="I43" s="73">
        <f t="shared" si="11"/>
        <v>69.975795757214996</v>
      </c>
      <c r="J43" s="73">
        <f t="shared" si="11"/>
        <v>78.558331975922897</v>
      </c>
      <c r="K43" s="73">
        <f t="shared" si="11"/>
        <v>82.010593304025306</v>
      </c>
      <c r="L43" s="73">
        <f t="shared" si="11"/>
        <v>82.117491558215306</v>
      </c>
      <c r="M43" s="73">
        <f t="shared" si="11"/>
        <v>81.326546886561303</v>
      </c>
      <c r="N43" s="73">
        <f t="shared" si="11"/>
        <v>79.237062391191699</v>
      </c>
      <c r="O43" s="73">
        <f t="shared" si="11"/>
        <v>76.753958675037097</v>
      </c>
      <c r="P43" s="73">
        <f t="shared" si="11"/>
        <v>73.616758429833695</v>
      </c>
      <c r="Q43" s="73">
        <f t="shared" si="11"/>
        <v>72.399440891420397</v>
      </c>
      <c r="R43" s="73">
        <f t="shared" si="11"/>
        <v>68.963953647230696</v>
      </c>
      <c r="S43" s="73">
        <f t="shared" si="11"/>
        <v>67.086650277901697</v>
      </c>
      <c r="T43" s="73">
        <f t="shared" si="11"/>
        <v>0</v>
      </c>
      <c r="U43" s="73">
        <f t="shared" si="11"/>
        <v>0</v>
      </c>
      <c r="V43" s="73">
        <f t="shared" si="11"/>
        <v>0</v>
      </c>
      <c r="W43" s="807">
        <f t="shared" si="11"/>
        <v>0</v>
      </c>
    </row>
    <row r="44" spans="1:23" x14ac:dyDescent="0.35">
      <c r="A44" s="901"/>
      <c r="B44" s="805">
        <f t="shared" si="12"/>
        <v>3.25</v>
      </c>
      <c r="C44" s="806">
        <f t="shared" si="11"/>
        <v>0</v>
      </c>
      <c r="D44" s="73">
        <f t="shared" si="11"/>
        <v>0</v>
      </c>
      <c r="E44" s="73">
        <f t="shared" si="11"/>
        <v>0</v>
      </c>
      <c r="F44" s="73">
        <f t="shared" si="11"/>
        <v>0</v>
      </c>
      <c r="G44" s="73">
        <f t="shared" si="11"/>
        <v>0</v>
      </c>
      <c r="H44" s="73">
        <f t="shared" si="11"/>
        <v>0</v>
      </c>
      <c r="I44" s="73">
        <f t="shared" si="11"/>
        <v>0</v>
      </c>
      <c r="J44" s="73">
        <f t="shared" si="11"/>
        <v>109.721967801082</v>
      </c>
      <c r="K44" s="73">
        <f t="shared" si="11"/>
        <v>114.543721226283</v>
      </c>
      <c r="L44" s="73">
        <f t="shared" si="11"/>
        <v>114.69302539949101</v>
      </c>
      <c r="M44" s="73">
        <f t="shared" si="11"/>
        <v>113.588317552305</v>
      </c>
      <c r="N44" s="73">
        <f t="shared" si="11"/>
        <v>110.669946645549</v>
      </c>
      <c r="O44" s="73">
        <f t="shared" si="11"/>
        <v>107.201810050258</v>
      </c>
      <c r="P44" s="73">
        <f t="shared" si="11"/>
        <v>102.820100616875</v>
      </c>
      <c r="Q44" s="73">
        <f t="shared" si="11"/>
        <v>101.11988025330599</v>
      </c>
      <c r="R44" s="73">
        <f t="shared" si="11"/>
        <v>96.321555094066298</v>
      </c>
      <c r="S44" s="73">
        <f t="shared" si="11"/>
        <v>93.699536338556499</v>
      </c>
      <c r="T44" s="73">
        <f t="shared" si="11"/>
        <v>76.593839976416703</v>
      </c>
      <c r="U44" s="73">
        <f t="shared" si="11"/>
        <v>64.907576258917899</v>
      </c>
      <c r="V44" s="73">
        <f t="shared" si="11"/>
        <v>0</v>
      </c>
      <c r="W44" s="807">
        <f t="shared" si="11"/>
        <v>0</v>
      </c>
    </row>
    <row r="45" spans="1:23" x14ac:dyDescent="0.35">
      <c r="A45" s="901"/>
      <c r="B45" s="805">
        <f t="shared" si="12"/>
        <v>3.75</v>
      </c>
      <c r="C45" s="806">
        <f t="shared" si="11"/>
        <v>0</v>
      </c>
      <c r="D45" s="73">
        <f t="shared" si="11"/>
        <v>0</v>
      </c>
      <c r="E45" s="73">
        <f t="shared" si="11"/>
        <v>0</v>
      </c>
      <c r="F45" s="73">
        <f t="shared" si="11"/>
        <v>0</v>
      </c>
      <c r="G45" s="73">
        <f t="shared" si="11"/>
        <v>0</v>
      </c>
      <c r="H45" s="73">
        <f t="shared" si="11"/>
        <v>0</v>
      </c>
      <c r="I45" s="73">
        <f t="shared" si="11"/>
        <v>0</v>
      </c>
      <c r="J45" s="73">
        <f t="shared" si="11"/>
        <v>146.079542930434</v>
      </c>
      <c r="K45" s="73">
        <f t="shared" si="11"/>
        <v>152.49903713558399</v>
      </c>
      <c r="L45" s="73">
        <f t="shared" si="11"/>
        <v>152.697814880979</v>
      </c>
      <c r="M45" s="73">
        <f t="shared" si="11"/>
        <v>151.22704999567199</v>
      </c>
      <c r="N45" s="73">
        <f t="shared" si="11"/>
        <v>147.34164494229901</v>
      </c>
      <c r="O45" s="73">
        <f t="shared" si="11"/>
        <v>142.724303321349</v>
      </c>
      <c r="P45" s="73">
        <f t="shared" si="11"/>
        <v>136.89066650175801</v>
      </c>
      <c r="Q45" s="73">
        <f t="shared" si="11"/>
        <v>134.62705950884001</v>
      </c>
      <c r="R45" s="73">
        <f t="shared" si="11"/>
        <v>128.23875678204101</v>
      </c>
      <c r="S45" s="73">
        <f t="shared" si="11"/>
        <v>124.747903409321</v>
      </c>
      <c r="T45" s="73">
        <f t="shared" si="11"/>
        <v>0</v>
      </c>
      <c r="U45" s="73">
        <f t="shared" si="11"/>
        <v>0</v>
      </c>
      <c r="V45" s="73">
        <f t="shared" si="11"/>
        <v>0</v>
      </c>
      <c r="W45" s="807">
        <f t="shared" si="11"/>
        <v>0</v>
      </c>
    </row>
    <row r="46" spans="1:23" x14ac:dyDescent="0.35">
      <c r="A46" s="901"/>
      <c r="B46" s="805">
        <f t="shared" si="12"/>
        <v>4.25</v>
      </c>
      <c r="C46" s="806">
        <f t="shared" si="11"/>
        <v>0</v>
      </c>
      <c r="D46" s="73">
        <f t="shared" si="11"/>
        <v>0</v>
      </c>
      <c r="E46" s="73">
        <f t="shared" si="11"/>
        <v>0</v>
      </c>
      <c r="F46" s="73">
        <f t="shared" si="11"/>
        <v>0</v>
      </c>
      <c r="G46" s="73">
        <f t="shared" si="11"/>
        <v>0</v>
      </c>
      <c r="H46" s="73">
        <f t="shared" si="11"/>
        <v>0</v>
      </c>
      <c r="I46" s="73">
        <f t="shared" si="11"/>
        <v>0</v>
      </c>
      <c r="J46" s="73">
        <f t="shared" si="11"/>
        <v>0</v>
      </c>
      <c r="K46" s="73">
        <f t="shared" si="11"/>
        <v>182.61828238196756</v>
      </c>
      <c r="L46" s="73">
        <f t="shared" si="11"/>
        <v>182.61828238196756</v>
      </c>
      <c r="M46" s="73">
        <f t="shared" si="11"/>
        <v>182.61828238196756</v>
      </c>
      <c r="N46" s="73">
        <f t="shared" si="11"/>
        <v>182.61828238196756</v>
      </c>
      <c r="O46" s="73">
        <f t="shared" si="11"/>
        <v>182.61828238196756</v>
      </c>
      <c r="P46" s="73">
        <f t="shared" si="11"/>
        <v>175.828456084479</v>
      </c>
      <c r="Q46" s="73">
        <f t="shared" si="11"/>
        <v>173.58175374971799</v>
      </c>
      <c r="R46" s="73">
        <f t="shared" si="11"/>
        <v>165.210859270567</v>
      </c>
      <c r="S46" s="73">
        <f t="shared" si="11"/>
        <v>160.23175149019499</v>
      </c>
      <c r="T46" s="73">
        <f t="shared" si="11"/>
        <v>0</v>
      </c>
      <c r="U46" s="73">
        <f t="shared" si="11"/>
        <v>0</v>
      </c>
      <c r="V46" s="73">
        <f t="shared" si="11"/>
        <v>0</v>
      </c>
      <c r="W46" s="807">
        <f t="shared" si="11"/>
        <v>0</v>
      </c>
    </row>
    <row r="47" spans="1:23" x14ac:dyDescent="0.35">
      <c r="A47" s="901"/>
      <c r="B47" s="805">
        <f t="shared" si="12"/>
        <v>4.75</v>
      </c>
      <c r="C47" s="806">
        <f t="shared" si="11"/>
        <v>0</v>
      </c>
      <c r="D47" s="73">
        <f t="shared" si="11"/>
        <v>0</v>
      </c>
      <c r="E47" s="73">
        <f t="shared" si="11"/>
        <v>0</v>
      </c>
      <c r="F47" s="73">
        <f t="shared" si="11"/>
        <v>0</v>
      </c>
      <c r="G47" s="73">
        <f t="shared" si="11"/>
        <v>0</v>
      </c>
      <c r="H47" s="73">
        <f t="shared" si="11"/>
        <v>0</v>
      </c>
      <c r="I47" s="73">
        <f t="shared" si="11"/>
        <v>0</v>
      </c>
      <c r="J47" s="73">
        <f t="shared" si="11"/>
        <v>0</v>
      </c>
      <c r="K47" s="73">
        <f t="shared" si="11"/>
        <v>182.61828238196756</v>
      </c>
      <c r="L47" s="73">
        <f t="shared" si="11"/>
        <v>182.61828238196756</v>
      </c>
      <c r="M47" s="73">
        <f t="shared" si="11"/>
        <v>182.61828238196756</v>
      </c>
      <c r="N47" s="73">
        <f t="shared" si="11"/>
        <v>182.61828238196756</v>
      </c>
      <c r="O47" s="73">
        <f t="shared" si="11"/>
        <v>182.61828238196756</v>
      </c>
      <c r="P47" s="73">
        <f t="shared" si="11"/>
        <v>182.61828238196756</v>
      </c>
      <c r="Q47" s="73">
        <f t="shared" si="11"/>
        <v>182.61828238196756</v>
      </c>
      <c r="R47" s="73">
        <f t="shared" si="11"/>
        <v>182.61828238196756</v>
      </c>
      <c r="S47" s="73">
        <f t="shared" si="11"/>
        <v>182.61828238196756</v>
      </c>
      <c r="T47" s="73">
        <f t="shared" si="11"/>
        <v>0</v>
      </c>
      <c r="U47" s="73">
        <f t="shared" si="11"/>
        <v>0</v>
      </c>
      <c r="V47" s="73">
        <f t="shared" si="11"/>
        <v>0</v>
      </c>
      <c r="W47" s="807">
        <f t="shared" si="11"/>
        <v>0</v>
      </c>
    </row>
    <row r="48" spans="1:23" x14ac:dyDescent="0.35">
      <c r="A48" s="901"/>
      <c r="B48" s="805">
        <f t="shared" si="12"/>
        <v>5.25</v>
      </c>
      <c r="C48" s="806">
        <f t="shared" si="11"/>
        <v>0</v>
      </c>
      <c r="D48" s="73">
        <f t="shared" si="11"/>
        <v>0</v>
      </c>
      <c r="E48" s="73">
        <f t="shared" si="11"/>
        <v>0</v>
      </c>
      <c r="F48" s="73">
        <f t="shared" si="11"/>
        <v>0</v>
      </c>
      <c r="G48" s="73">
        <f t="shared" si="11"/>
        <v>0</v>
      </c>
      <c r="H48" s="73">
        <f t="shared" si="11"/>
        <v>0</v>
      </c>
      <c r="I48" s="73">
        <f t="shared" si="11"/>
        <v>0</v>
      </c>
      <c r="J48" s="73">
        <f t="shared" si="11"/>
        <v>0</v>
      </c>
      <c r="K48" s="73">
        <f t="shared" si="11"/>
        <v>0</v>
      </c>
      <c r="L48" s="73">
        <f t="shared" si="11"/>
        <v>182.61828238196756</v>
      </c>
      <c r="M48" s="73">
        <f t="shared" si="11"/>
        <v>182.61828238196756</v>
      </c>
      <c r="N48" s="73">
        <f t="shared" si="11"/>
        <v>182.61828238196756</v>
      </c>
      <c r="O48" s="73">
        <f t="shared" si="11"/>
        <v>182.61828238196756</v>
      </c>
      <c r="P48" s="73">
        <f t="shared" si="11"/>
        <v>182.61828238196756</v>
      </c>
      <c r="Q48" s="73">
        <f t="shared" si="11"/>
        <v>182.61828238196756</v>
      </c>
      <c r="R48" s="73">
        <f t="shared" si="11"/>
        <v>182.61828238196756</v>
      </c>
      <c r="S48" s="73">
        <f t="shared" si="11"/>
        <v>0</v>
      </c>
      <c r="T48" s="73">
        <f t="shared" si="11"/>
        <v>0</v>
      </c>
      <c r="U48" s="73">
        <f t="shared" si="11"/>
        <v>0</v>
      </c>
      <c r="V48" s="73">
        <f t="shared" si="11"/>
        <v>0</v>
      </c>
      <c r="W48" s="807">
        <f t="shared" si="11"/>
        <v>0</v>
      </c>
    </row>
    <row r="49" spans="1:23" x14ac:dyDescent="0.35">
      <c r="A49" s="901"/>
      <c r="B49" s="805">
        <f t="shared" si="12"/>
        <v>5.75</v>
      </c>
      <c r="C49" s="806">
        <f t="shared" si="11"/>
        <v>0</v>
      </c>
      <c r="D49" s="73">
        <f t="shared" si="11"/>
        <v>0</v>
      </c>
      <c r="E49" s="73">
        <f t="shared" si="11"/>
        <v>0</v>
      </c>
      <c r="F49" s="73">
        <f t="shared" si="11"/>
        <v>0</v>
      </c>
      <c r="G49" s="73">
        <f t="shared" si="11"/>
        <v>0</v>
      </c>
      <c r="H49" s="73">
        <f t="shared" si="11"/>
        <v>0</v>
      </c>
      <c r="I49" s="73">
        <f t="shared" si="11"/>
        <v>0</v>
      </c>
      <c r="J49" s="73">
        <f t="shared" si="11"/>
        <v>0</v>
      </c>
      <c r="K49" s="73">
        <f t="shared" si="11"/>
        <v>0</v>
      </c>
      <c r="L49" s="73">
        <f t="shared" si="11"/>
        <v>0</v>
      </c>
      <c r="M49" s="73">
        <f t="shared" si="11"/>
        <v>0</v>
      </c>
      <c r="N49" s="73">
        <f t="shared" si="11"/>
        <v>182.61828238196756</v>
      </c>
      <c r="O49" s="73">
        <f t="shared" si="11"/>
        <v>182.61828238196756</v>
      </c>
      <c r="P49" s="73">
        <f t="shared" si="11"/>
        <v>182.61828238196756</v>
      </c>
      <c r="Q49" s="73">
        <f t="shared" si="11"/>
        <v>182.61828238196756</v>
      </c>
      <c r="R49" s="73">
        <f t="shared" si="11"/>
        <v>182.61828238196756</v>
      </c>
      <c r="S49" s="73">
        <f t="shared" si="11"/>
        <v>0</v>
      </c>
      <c r="T49" s="73">
        <f t="shared" si="11"/>
        <v>0</v>
      </c>
      <c r="U49" s="73">
        <f t="shared" si="11"/>
        <v>0</v>
      </c>
      <c r="V49" s="73">
        <f t="shared" si="11"/>
        <v>0</v>
      </c>
      <c r="W49" s="807">
        <f t="shared" si="11"/>
        <v>0</v>
      </c>
    </row>
    <row r="50" spans="1:23" x14ac:dyDescent="0.35">
      <c r="A50" s="901"/>
      <c r="B50" s="805">
        <f t="shared" si="12"/>
        <v>6.25</v>
      </c>
      <c r="C50" s="806">
        <f t="shared" si="11"/>
        <v>0</v>
      </c>
      <c r="D50" s="73">
        <f t="shared" si="11"/>
        <v>0</v>
      </c>
      <c r="E50" s="73">
        <f t="shared" si="11"/>
        <v>0</v>
      </c>
      <c r="F50" s="73">
        <f t="shared" si="11"/>
        <v>0</v>
      </c>
      <c r="G50" s="73">
        <f t="shared" si="11"/>
        <v>0</v>
      </c>
      <c r="H50" s="73">
        <f t="shared" si="11"/>
        <v>0</v>
      </c>
      <c r="I50" s="73">
        <f t="shared" si="11"/>
        <v>0</v>
      </c>
      <c r="J50" s="73">
        <f t="shared" si="11"/>
        <v>0</v>
      </c>
      <c r="K50" s="73">
        <f t="shared" si="11"/>
        <v>0</v>
      </c>
      <c r="L50" s="73">
        <f t="shared" si="11"/>
        <v>0</v>
      </c>
      <c r="M50" s="73">
        <f t="shared" si="11"/>
        <v>0</v>
      </c>
      <c r="N50" s="73">
        <f t="shared" si="11"/>
        <v>0</v>
      </c>
      <c r="O50" s="73">
        <f t="shared" si="11"/>
        <v>182.61828238196756</v>
      </c>
      <c r="P50" s="73">
        <f t="shared" si="11"/>
        <v>182.61828238196756</v>
      </c>
      <c r="Q50" s="73">
        <f t="shared" si="11"/>
        <v>182.61828238196756</v>
      </c>
      <c r="R50" s="73">
        <f t="shared" si="11"/>
        <v>182.61828238196756</v>
      </c>
      <c r="S50" s="73">
        <f t="shared" si="11"/>
        <v>0</v>
      </c>
      <c r="T50" s="73">
        <f t="shared" si="11"/>
        <v>0</v>
      </c>
      <c r="U50" s="73">
        <f t="shared" si="11"/>
        <v>0</v>
      </c>
      <c r="V50" s="73">
        <f t="shared" si="11"/>
        <v>0</v>
      </c>
      <c r="W50" s="807">
        <f t="shared" si="11"/>
        <v>0</v>
      </c>
    </row>
    <row r="51" spans="1:23" x14ac:dyDescent="0.35">
      <c r="A51" s="901"/>
      <c r="B51" s="805">
        <f t="shared" si="12"/>
        <v>6.75</v>
      </c>
      <c r="C51" s="806">
        <f t="shared" si="11"/>
        <v>0</v>
      </c>
      <c r="D51" s="73">
        <f t="shared" si="11"/>
        <v>0</v>
      </c>
      <c r="E51" s="73">
        <f t="shared" si="11"/>
        <v>0</v>
      </c>
      <c r="F51" s="73">
        <f t="shared" ref="F51:W51" si="13">IF(F23&lt;$C$1,F23,$C$1)</f>
        <v>0</v>
      </c>
      <c r="G51" s="73">
        <f t="shared" si="13"/>
        <v>0</v>
      </c>
      <c r="H51" s="73">
        <f t="shared" si="13"/>
        <v>0</v>
      </c>
      <c r="I51" s="73">
        <f t="shared" si="13"/>
        <v>0</v>
      </c>
      <c r="J51" s="73">
        <f t="shared" si="13"/>
        <v>0</v>
      </c>
      <c r="K51" s="73">
        <f t="shared" si="13"/>
        <v>0</v>
      </c>
      <c r="L51" s="73">
        <f t="shared" si="13"/>
        <v>0</v>
      </c>
      <c r="M51" s="73">
        <f t="shared" si="13"/>
        <v>0</v>
      </c>
      <c r="N51" s="73">
        <f t="shared" si="13"/>
        <v>0</v>
      </c>
      <c r="O51" s="73">
        <f t="shared" si="13"/>
        <v>0</v>
      </c>
      <c r="P51" s="73">
        <f t="shared" si="13"/>
        <v>182.61828238196756</v>
      </c>
      <c r="Q51" s="73">
        <f t="shared" si="13"/>
        <v>182.61828238196756</v>
      </c>
      <c r="R51" s="73">
        <f t="shared" si="13"/>
        <v>0</v>
      </c>
      <c r="S51" s="73">
        <f t="shared" si="13"/>
        <v>0</v>
      </c>
      <c r="T51" s="73">
        <f t="shared" si="13"/>
        <v>0</v>
      </c>
      <c r="U51" s="73">
        <f t="shared" si="13"/>
        <v>0</v>
      </c>
      <c r="V51" s="73">
        <f t="shared" si="13"/>
        <v>0</v>
      </c>
      <c r="W51" s="807">
        <f t="shared" si="13"/>
        <v>0</v>
      </c>
    </row>
    <row r="52" spans="1:23" x14ac:dyDescent="0.35">
      <c r="A52" s="901"/>
      <c r="B52" s="805">
        <f t="shared" si="12"/>
        <v>7.25</v>
      </c>
      <c r="C52" s="806">
        <f t="shared" ref="C52:W57" si="14">IF(C24&lt;$C$1,C24,$C$1)</f>
        <v>0</v>
      </c>
      <c r="D52" s="73">
        <f t="shared" si="14"/>
        <v>0</v>
      </c>
      <c r="E52" s="73">
        <f t="shared" si="14"/>
        <v>0</v>
      </c>
      <c r="F52" s="73">
        <f t="shared" si="14"/>
        <v>0</v>
      </c>
      <c r="G52" s="73">
        <f t="shared" si="14"/>
        <v>0</v>
      </c>
      <c r="H52" s="73">
        <f t="shared" si="14"/>
        <v>0</v>
      </c>
      <c r="I52" s="73">
        <f t="shared" si="14"/>
        <v>0</v>
      </c>
      <c r="J52" s="73">
        <f t="shared" si="14"/>
        <v>0</v>
      </c>
      <c r="K52" s="73">
        <f t="shared" si="14"/>
        <v>0</v>
      </c>
      <c r="L52" s="73">
        <f t="shared" si="14"/>
        <v>0</v>
      </c>
      <c r="M52" s="73">
        <f t="shared" si="14"/>
        <v>0</v>
      </c>
      <c r="N52" s="73">
        <f t="shared" si="14"/>
        <v>0</v>
      </c>
      <c r="O52" s="73">
        <f t="shared" si="14"/>
        <v>0</v>
      </c>
      <c r="P52" s="73">
        <f t="shared" si="14"/>
        <v>0</v>
      </c>
      <c r="Q52" s="73">
        <f t="shared" si="14"/>
        <v>0</v>
      </c>
      <c r="R52" s="73">
        <f t="shared" si="14"/>
        <v>0</v>
      </c>
      <c r="S52" s="73">
        <f t="shared" si="14"/>
        <v>0</v>
      </c>
      <c r="T52" s="73">
        <f t="shared" si="14"/>
        <v>0</v>
      </c>
      <c r="U52" s="73">
        <f t="shared" si="14"/>
        <v>0</v>
      </c>
      <c r="V52" s="73">
        <f t="shared" si="14"/>
        <v>0</v>
      </c>
      <c r="W52" s="807">
        <f t="shared" si="14"/>
        <v>0</v>
      </c>
    </row>
    <row r="53" spans="1:23" x14ac:dyDescent="0.35">
      <c r="A53" s="901"/>
      <c r="B53" s="805">
        <f t="shared" si="12"/>
        <v>7.75</v>
      </c>
      <c r="C53" s="806">
        <f t="shared" si="14"/>
        <v>0</v>
      </c>
      <c r="D53" s="73">
        <f t="shared" si="14"/>
        <v>0</v>
      </c>
      <c r="E53" s="73">
        <f t="shared" si="14"/>
        <v>0</v>
      </c>
      <c r="F53" s="73">
        <f t="shared" si="14"/>
        <v>0</v>
      </c>
      <c r="G53" s="73">
        <f t="shared" si="14"/>
        <v>0</v>
      </c>
      <c r="H53" s="73">
        <f t="shared" si="14"/>
        <v>0</v>
      </c>
      <c r="I53" s="73">
        <f t="shared" si="14"/>
        <v>0</v>
      </c>
      <c r="J53" s="73">
        <f t="shared" si="14"/>
        <v>0</v>
      </c>
      <c r="K53" s="73">
        <f t="shared" si="14"/>
        <v>0</v>
      </c>
      <c r="L53" s="73">
        <f t="shared" si="14"/>
        <v>0</v>
      </c>
      <c r="M53" s="73">
        <f t="shared" si="14"/>
        <v>0</v>
      </c>
      <c r="N53" s="73">
        <f t="shared" si="14"/>
        <v>0</v>
      </c>
      <c r="O53" s="73">
        <f t="shared" si="14"/>
        <v>0</v>
      </c>
      <c r="P53" s="73">
        <f t="shared" si="14"/>
        <v>0</v>
      </c>
      <c r="Q53" s="73">
        <f t="shared" si="14"/>
        <v>0</v>
      </c>
      <c r="R53" s="73">
        <f t="shared" si="14"/>
        <v>0</v>
      </c>
      <c r="S53" s="73">
        <f t="shared" si="14"/>
        <v>0</v>
      </c>
      <c r="T53" s="73">
        <f t="shared" si="14"/>
        <v>0</v>
      </c>
      <c r="U53" s="73">
        <f t="shared" si="14"/>
        <v>0</v>
      </c>
      <c r="V53" s="73">
        <f t="shared" si="14"/>
        <v>0</v>
      </c>
      <c r="W53" s="807">
        <f t="shared" si="14"/>
        <v>0</v>
      </c>
    </row>
    <row r="54" spans="1:23" x14ac:dyDescent="0.35">
      <c r="A54" s="901"/>
      <c r="B54" s="805">
        <f t="shared" si="12"/>
        <v>8.25</v>
      </c>
      <c r="C54" s="806">
        <f t="shared" si="14"/>
        <v>0</v>
      </c>
      <c r="D54" s="73">
        <f t="shared" si="14"/>
        <v>0</v>
      </c>
      <c r="E54" s="73">
        <f t="shared" si="14"/>
        <v>0</v>
      </c>
      <c r="F54" s="73">
        <f t="shared" si="14"/>
        <v>0</v>
      </c>
      <c r="G54" s="73">
        <f t="shared" si="14"/>
        <v>0</v>
      </c>
      <c r="H54" s="73">
        <f t="shared" si="14"/>
        <v>0</v>
      </c>
      <c r="I54" s="73">
        <f t="shared" si="14"/>
        <v>0</v>
      </c>
      <c r="J54" s="73">
        <f t="shared" si="14"/>
        <v>0</v>
      </c>
      <c r="K54" s="73">
        <f t="shared" si="14"/>
        <v>0</v>
      </c>
      <c r="L54" s="73">
        <f t="shared" si="14"/>
        <v>0</v>
      </c>
      <c r="M54" s="73">
        <f t="shared" si="14"/>
        <v>0</v>
      </c>
      <c r="N54" s="73">
        <f t="shared" si="14"/>
        <v>0</v>
      </c>
      <c r="O54" s="73">
        <f t="shared" si="14"/>
        <v>0</v>
      </c>
      <c r="P54" s="73">
        <f t="shared" si="14"/>
        <v>0</v>
      </c>
      <c r="Q54" s="73">
        <f t="shared" si="14"/>
        <v>0</v>
      </c>
      <c r="R54" s="73">
        <f t="shared" si="14"/>
        <v>0</v>
      </c>
      <c r="S54" s="73">
        <f t="shared" si="14"/>
        <v>0</v>
      </c>
      <c r="T54" s="73">
        <f t="shared" si="14"/>
        <v>0</v>
      </c>
      <c r="U54" s="73">
        <f t="shared" si="14"/>
        <v>0</v>
      </c>
      <c r="V54" s="73">
        <f t="shared" si="14"/>
        <v>0</v>
      </c>
      <c r="W54" s="807">
        <f t="shared" si="14"/>
        <v>0</v>
      </c>
    </row>
    <row r="55" spans="1:23" x14ac:dyDescent="0.35">
      <c r="A55" s="901"/>
      <c r="B55" s="805">
        <f t="shared" si="12"/>
        <v>8.75</v>
      </c>
      <c r="C55" s="806">
        <f t="shared" si="14"/>
        <v>0</v>
      </c>
      <c r="D55" s="73">
        <f t="shared" si="14"/>
        <v>0</v>
      </c>
      <c r="E55" s="73">
        <f t="shared" si="14"/>
        <v>0</v>
      </c>
      <c r="F55" s="73">
        <f t="shared" si="14"/>
        <v>0</v>
      </c>
      <c r="G55" s="73">
        <f t="shared" si="14"/>
        <v>0</v>
      </c>
      <c r="H55" s="73">
        <f t="shared" si="14"/>
        <v>0</v>
      </c>
      <c r="I55" s="73">
        <f t="shared" si="14"/>
        <v>0</v>
      </c>
      <c r="J55" s="73">
        <f t="shared" si="14"/>
        <v>0</v>
      </c>
      <c r="K55" s="73">
        <f t="shared" si="14"/>
        <v>0</v>
      </c>
      <c r="L55" s="73">
        <f t="shared" si="14"/>
        <v>0</v>
      </c>
      <c r="M55" s="73">
        <f t="shared" si="14"/>
        <v>0</v>
      </c>
      <c r="N55" s="73">
        <f t="shared" si="14"/>
        <v>0</v>
      </c>
      <c r="O55" s="73">
        <f t="shared" si="14"/>
        <v>0</v>
      </c>
      <c r="P55" s="73">
        <f t="shared" si="14"/>
        <v>0</v>
      </c>
      <c r="Q55" s="73">
        <f t="shared" si="14"/>
        <v>0</v>
      </c>
      <c r="R55" s="73">
        <f t="shared" si="14"/>
        <v>0</v>
      </c>
      <c r="S55" s="73">
        <f t="shared" si="14"/>
        <v>0</v>
      </c>
      <c r="T55" s="73">
        <f t="shared" si="14"/>
        <v>0</v>
      </c>
      <c r="U55" s="73">
        <f t="shared" si="14"/>
        <v>0</v>
      </c>
      <c r="V55" s="73">
        <f t="shared" si="14"/>
        <v>0</v>
      </c>
      <c r="W55" s="807">
        <f t="shared" si="14"/>
        <v>0</v>
      </c>
    </row>
    <row r="56" spans="1:23" x14ac:dyDescent="0.35">
      <c r="A56" s="901"/>
      <c r="B56" s="805">
        <f t="shared" si="12"/>
        <v>9.25</v>
      </c>
      <c r="C56" s="806">
        <f t="shared" si="14"/>
        <v>0</v>
      </c>
      <c r="D56" s="73">
        <f t="shared" si="14"/>
        <v>0</v>
      </c>
      <c r="E56" s="73">
        <f t="shared" si="14"/>
        <v>0</v>
      </c>
      <c r="F56" s="73">
        <f t="shared" si="14"/>
        <v>0</v>
      </c>
      <c r="G56" s="73">
        <f t="shared" si="14"/>
        <v>0</v>
      </c>
      <c r="H56" s="73">
        <f t="shared" si="14"/>
        <v>0</v>
      </c>
      <c r="I56" s="73">
        <f t="shared" si="14"/>
        <v>0</v>
      </c>
      <c r="J56" s="73">
        <f t="shared" si="14"/>
        <v>0</v>
      </c>
      <c r="K56" s="73">
        <f t="shared" si="14"/>
        <v>0</v>
      </c>
      <c r="L56" s="73">
        <f t="shared" si="14"/>
        <v>0</v>
      </c>
      <c r="M56" s="73">
        <f t="shared" si="14"/>
        <v>0</v>
      </c>
      <c r="N56" s="73">
        <f t="shared" si="14"/>
        <v>0</v>
      </c>
      <c r="O56" s="73">
        <f t="shared" si="14"/>
        <v>0</v>
      </c>
      <c r="P56" s="73">
        <f t="shared" si="14"/>
        <v>0</v>
      </c>
      <c r="Q56" s="73">
        <f t="shared" si="14"/>
        <v>0</v>
      </c>
      <c r="R56" s="73">
        <f t="shared" si="14"/>
        <v>0</v>
      </c>
      <c r="S56" s="73">
        <f t="shared" si="14"/>
        <v>0</v>
      </c>
      <c r="T56" s="73">
        <f t="shared" si="14"/>
        <v>0</v>
      </c>
      <c r="U56" s="73">
        <f t="shared" si="14"/>
        <v>0</v>
      </c>
      <c r="V56" s="73">
        <f t="shared" si="14"/>
        <v>0</v>
      </c>
      <c r="W56" s="807">
        <f t="shared" si="14"/>
        <v>0</v>
      </c>
    </row>
    <row r="57" spans="1:23" ht="15" thickBot="1" x14ac:dyDescent="0.4">
      <c r="A57" s="902"/>
      <c r="B57" s="808">
        <f t="shared" si="12"/>
        <v>9.75</v>
      </c>
      <c r="C57" s="809">
        <f t="shared" si="14"/>
        <v>0</v>
      </c>
      <c r="D57" s="810">
        <f t="shared" si="14"/>
        <v>0</v>
      </c>
      <c r="E57" s="810">
        <f t="shared" si="14"/>
        <v>0</v>
      </c>
      <c r="F57" s="810">
        <f t="shared" si="14"/>
        <v>0</v>
      </c>
      <c r="G57" s="810">
        <f t="shared" si="14"/>
        <v>0</v>
      </c>
      <c r="H57" s="810">
        <f t="shared" si="14"/>
        <v>0</v>
      </c>
      <c r="I57" s="810">
        <f t="shared" si="14"/>
        <v>0</v>
      </c>
      <c r="J57" s="810">
        <f t="shared" si="14"/>
        <v>0</v>
      </c>
      <c r="K57" s="810">
        <f t="shared" si="14"/>
        <v>0</v>
      </c>
      <c r="L57" s="810">
        <f t="shared" si="14"/>
        <v>0</v>
      </c>
      <c r="M57" s="810">
        <f t="shared" si="14"/>
        <v>0</v>
      </c>
      <c r="N57" s="810">
        <f t="shared" si="14"/>
        <v>0</v>
      </c>
      <c r="O57" s="810">
        <f t="shared" si="14"/>
        <v>0</v>
      </c>
      <c r="P57" s="810">
        <f t="shared" si="14"/>
        <v>0</v>
      </c>
      <c r="Q57" s="810">
        <f t="shared" si="14"/>
        <v>0</v>
      </c>
      <c r="R57" s="810">
        <f t="shared" si="14"/>
        <v>0</v>
      </c>
      <c r="S57" s="810">
        <f t="shared" si="14"/>
        <v>0</v>
      </c>
      <c r="T57" s="810">
        <f t="shared" si="14"/>
        <v>0</v>
      </c>
      <c r="U57" s="810">
        <f t="shared" si="14"/>
        <v>0</v>
      </c>
      <c r="V57" s="810">
        <f t="shared" si="14"/>
        <v>0</v>
      </c>
      <c r="W57" s="811">
        <f t="shared" si="14"/>
        <v>0</v>
      </c>
    </row>
    <row r="58" spans="1:23" ht="15" thickBot="1" x14ac:dyDescent="0.4">
      <c r="A58" s="812"/>
      <c r="B58" s="545"/>
      <c r="C58" s="813">
        <f>C37*1.16</f>
        <v>0.57999999999999996</v>
      </c>
      <c r="D58" s="813">
        <f t="shared" ref="D58:W58" si="15">D37*1.16</f>
        <v>1.7399999999999998</v>
      </c>
      <c r="E58" s="813">
        <f t="shared" si="15"/>
        <v>2.9</v>
      </c>
      <c r="F58" s="813">
        <f t="shared" si="15"/>
        <v>4.0599999999999996</v>
      </c>
      <c r="G58" s="813">
        <f t="shared" si="15"/>
        <v>5.22</v>
      </c>
      <c r="H58" s="813">
        <f t="shared" si="15"/>
        <v>6.38</v>
      </c>
      <c r="I58" s="813">
        <f t="shared" si="15"/>
        <v>7.5399999999999991</v>
      </c>
      <c r="J58" s="813">
        <f t="shared" si="15"/>
        <v>8.6999999999999993</v>
      </c>
      <c r="K58" s="813">
        <f t="shared" si="15"/>
        <v>9.86</v>
      </c>
      <c r="L58" s="813">
        <f t="shared" si="15"/>
        <v>11.02</v>
      </c>
      <c r="M58" s="813">
        <f t="shared" si="15"/>
        <v>12.18</v>
      </c>
      <c r="N58" s="813">
        <f t="shared" si="15"/>
        <v>13.34</v>
      </c>
      <c r="O58" s="813">
        <f t="shared" si="15"/>
        <v>14.499999999999998</v>
      </c>
      <c r="P58" s="813">
        <f t="shared" si="15"/>
        <v>15.659999999999998</v>
      </c>
      <c r="Q58" s="813">
        <f t="shared" si="15"/>
        <v>16.82</v>
      </c>
      <c r="R58" s="813">
        <f t="shared" si="15"/>
        <v>17.98</v>
      </c>
      <c r="S58" s="813">
        <f t="shared" si="15"/>
        <v>19.139999999999997</v>
      </c>
      <c r="T58" s="813">
        <f t="shared" si="15"/>
        <v>20.299999999999997</v>
      </c>
      <c r="U58" s="813">
        <f t="shared" si="15"/>
        <v>21.459999999999997</v>
      </c>
      <c r="V58" s="813">
        <f t="shared" si="15"/>
        <v>22.619999999999997</v>
      </c>
      <c r="W58" s="813">
        <f t="shared" si="15"/>
        <v>23.779999999999998</v>
      </c>
    </row>
    <row r="59" spans="1:23" ht="15" thickBot="1" x14ac:dyDescent="0.4">
      <c r="A59" s="812"/>
      <c r="B59" s="545"/>
      <c r="C59" s="893" t="s">
        <v>1375</v>
      </c>
      <c r="D59" s="894"/>
      <c r="E59" s="894"/>
      <c r="F59" s="894"/>
      <c r="G59" s="894"/>
      <c r="H59" s="894"/>
      <c r="I59" s="894"/>
      <c r="J59" s="894"/>
      <c r="K59" s="894"/>
      <c r="L59" s="894"/>
      <c r="M59" s="894"/>
      <c r="N59" s="894"/>
      <c r="O59" s="894"/>
      <c r="P59" s="894"/>
      <c r="Q59" s="894"/>
      <c r="R59" s="894"/>
      <c r="S59" s="894"/>
      <c r="T59" s="894"/>
      <c r="U59" s="894"/>
      <c r="V59" s="894"/>
      <c r="W59" s="895"/>
    </row>
    <row r="62" spans="1:23" x14ac:dyDescent="0.35">
      <c r="A62" s="725" t="s">
        <v>1377</v>
      </c>
    </row>
    <row r="63" spans="1:23" ht="15" thickBot="1" x14ac:dyDescent="0.4"/>
    <row r="64" spans="1:23" ht="15" thickBot="1" x14ac:dyDescent="0.4">
      <c r="A64" s="896" t="s">
        <v>1378</v>
      </c>
      <c r="B64" s="897"/>
      <c r="C64" s="893" t="s">
        <v>1373</v>
      </c>
      <c r="D64" s="894"/>
      <c r="E64" s="894"/>
      <c r="F64" s="894"/>
      <c r="G64" s="894"/>
      <c r="H64" s="894"/>
      <c r="I64" s="894"/>
      <c r="J64" s="894"/>
      <c r="K64" s="894"/>
      <c r="L64" s="894"/>
      <c r="M64" s="894"/>
      <c r="N64" s="894"/>
      <c r="O64" s="894"/>
      <c r="P64" s="894"/>
      <c r="Q64" s="894"/>
      <c r="R64" s="894"/>
      <c r="S64" s="894"/>
      <c r="T64" s="894"/>
      <c r="U64" s="894"/>
      <c r="V64" s="894"/>
      <c r="W64" s="895"/>
    </row>
    <row r="65" spans="1:23" ht="15" thickBot="1" x14ac:dyDescent="0.4">
      <c r="A65" s="898"/>
      <c r="B65" s="899"/>
      <c r="C65" s="798">
        <v>0.5</v>
      </c>
      <c r="D65" s="799">
        <f>C65+1</f>
        <v>1.5</v>
      </c>
      <c r="E65" s="799">
        <f t="shared" ref="E65:W65" si="16">D65+1</f>
        <v>2.5</v>
      </c>
      <c r="F65" s="799">
        <f>E65+1</f>
        <v>3.5</v>
      </c>
      <c r="G65" s="799">
        <f t="shared" si="16"/>
        <v>4.5</v>
      </c>
      <c r="H65" s="799">
        <f t="shared" si="16"/>
        <v>5.5</v>
      </c>
      <c r="I65" s="799">
        <f t="shared" si="16"/>
        <v>6.5</v>
      </c>
      <c r="J65" s="799">
        <f t="shared" si="16"/>
        <v>7.5</v>
      </c>
      <c r="K65" s="799">
        <f t="shared" si="16"/>
        <v>8.5</v>
      </c>
      <c r="L65" s="799">
        <f t="shared" si="16"/>
        <v>9.5</v>
      </c>
      <c r="M65" s="799">
        <f t="shared" si="16"/>
        <v>10.5</v>
      </c>
      <c r="N65" s="799">
        <f t="shared" si="16"/>
        <v>11.5</v>
      </c>
      <c r="O65" s="799">
        <f t="shared" si="16"/>
        <v>12.5</v>
      </c>
      <c r="P65" s="799">
        <f t="shared" si="16"/>
        <v>13.5</v>
      </c>
      <c r="Q65" s="799">
        <f t="shared" si="16"/>
        <v>14.5</v>
      </c>
      <c r="R65" s="799">
        <f t="shared" si="16"/>
        <v>15.5</v>
      </c>
      <c r="S65" s="799">
        <f t="shared" si="16"/>
        <v>16.5</v>
      </c>
      <c r="T65" s="799">
        <f t="shared" si="16"/>
        <v>17.5</v>
      </c>
      <c r="U65" s="799">
        <f t="shared" si="16"/>
        <v>18.5</v>
      </c>
      <c r="V65" s="799">
        <f t="shared" si="16"/>
        <v>19.5</v>
      </c>
      <c r="W65" s="800">
        <f t="shared" si="16"/>
        <v>20.5</v>
      </c>
    </row>
    <row r="66" spans="1:23" x14ac:dyDescent="0.35">
      <c r="A66" s="900" t="s">
        <v>1374</v>
      </c>
      <c r="B66" s="801">
        <v>0.25</v>
      </c>
      <c r="C66" s="815">
        <v>0</v>
      </c>
      <c r="D66" s="816">
        <v>0</v>
      </c>
      <c r="E66" s="816">
        <v>0</v>
      </c>
      <c r="F66" s="816">
        <v>0</v>
      </c>
      <c r="G66" s="816">
        <v>0</v>
      </c>
      <c r="H66" s="816">
        <v>0</v>
      </c>
      <c r="I66" s="816">
        <v>0</v>
      </c>
      <c r="J66" s="816">
        <v>1.9579944915088299E-2</v>
      </c>
      <c r="K66" s="816">
        <v>3.3938571186153101E-2</v>
      </c>
      <c r="L66" s="816">
        <v>0</v>
      </c>
      <c r="M66" s="816">
        <v>0</v>
      </c>
      <c r="N66" s="816">
        <v>0</v>
      </c>
      <c r="O66" s="816">
        <v>0</v>
      </c>
      <c r="P66" s="816">
        <v>0</v>
      </c>
      <c r="Q66" s="816">
        <v>0</v>
      </c>
      <c r="R66" s="816">
        <v>0</v>
      </c>
      <c r="S66" s="816">
        <v>0</v>
      </c>
      <c r="T66" s="816">
        <v>0</v>
      </c>
      <c r="U66" s="816">
        <v>0</v>
      </c>
      <c r="V66" s="816">
        <v>0</v>
      </c>
      <c r="W66" s="817">
        <v>0</v>
      </c>
    </row>
    <row r="67" spans="1:23" x14ac:dyDescent="0.35">
      <c r="A67" s="901"/>
      <c r="B67" s="805">
        <f>B66+0.5</f>
        <v>0.75</v>
      </c>
      <c r="C67" s="818">
        <v>0</v>
      </c>
      <c r="D67" s="819">
        <v>0</v>
      </c>
      <c r="E67" s="819">
        <v>0</v>
      </c>
      <c r="F67" s="819">
        <v>0</v>
      </c>
      <c r="G67" s="819">
        <v>1.9579944915088299E-2</v>
      </c>
      <c r="H67" s="819">
        <v>0.46469735931809603</v>
      </c>
      <c r="I67" s="819">
        <v>1.4867704838857101</v>
      </c>
      <c r="J67" s="819">
        <v>2.68114712370609</v>
      </c>
      <c r="K67" s="819">
        <v>1.9057813050686001</v>
      </c>
      <c r="L67" s="819">
        <v>1.1043088932109799</v>
      </c>
      <c r="M67" s="819">
        <v>0.53387983135140804</v>
      </c>
      <c r="N67" s="819">
        <v>0.17099818559177099</v>
      </c>
      <c r="O67" s="819">
        <v>1.5663955932070601E-2</v>
      </c>
      <c r="P67" s="819">
        <v>0</v>
      </c>
      <c r="Q67" s="819">
        <v>0</v>
      </c>
      <c r="R67" s="819">
        <v>0</v>
      </c>
      <c r="S67" s="819">
        <v>0</v>
      </c>
      <c r="T67" s="819">
        <v>0</v>
      </c>
      <c r="U67" s="819">
        <v>0</v>
      </c>
      <c r="V67" s="819">
        <v>0</v>
      </c>
      <c r="W67" s="820">
        <v>0</v>
      </c>
    </row>
    <row r="68" spans="1:23" x14ac:dyDescent="0.35">
      <c r="A68" s="901"/>
      <c r="B68" s="805">
        <f t="shared" ref="B68:B85" si="17">B67+0.5</f>
        <v>1.25</v>
      </c>
      <c r="C68" s="818">
        <v>0</v>
      </c>
      <c r="D68" s="819">
        <v>0</v>
      </c>
      <c r="E68" s="819">
        <v>0</v>
      </c>
      <c r="F68" s="819">
        <v>0</v>
      </c>
      <c r="G68" s="819">
        <v>1.30532966100589E-2</v>
      </c>
      <c r="H68" s="819">
        <v>0.58870367711365501</v>
      </c>
      <c r="I68" s="819">
        <v>4.1065671135245196</v>
      </c>
      <c r="J68" s="819">
        <v>5.5580936965630698</v>
      </c>
      <c r="K68" s="819">
        <v>4.4785860669112001</v>
      </c>
      <c r="L68" s="819">
        <v>2.7359709694683398</v>
      </c>
      <c r="M68" s="819">
        <v>1.27661240846376</v>
      </c>
      <c r="N68" s="819">
        <v>0.67355010507903801</v>
      </c>
      <c r="O68" s="819">
        <v>0.32763774491247799</v>
      </c>
      <c r="P68" s="819">
        <v>6.7877142372306104E-2</v>
      </c>
      <c r="Q68" s="819">
        <v>1.8274615254082398E-2</v>
      </c>
      <c r="R68" s="819">
        <v>1.6969285593076502E-2</v>
      </c>
      <c r="S68" s="819">
        <v>0</v>
      </c>
      <c r="T68" s="819">
        <v>0</v>
      </c>
      <c r="U68" s="819">
        <v>0</v>
      </c>
      <c r="V68" s="819">
        <v>0</v>
      </c>
      <c r="W68" s="820">
        <v>0</v>
      </c>
    </row>
    <row r="69" spans="1:23" x14ac:dyDescent="0.35">
      <c r="A69" s="901"/>
      <c r="B69" s="805">
        <f t="shared" si="17"/>
        <v>1.75</v>
      </c>
      <c r="C69" s="818">
        <v>0</v>
      </c>
      <c r="D69" s="819">
        <v>0</v>
      </c>
      <c r="E69" s="819">
        <v>0</v>
      </c>
      <c r="F69" s="819">
        <v>0</v>
      </c>
      <c r="G69" s="819">
        <v>0</v>
      </c>
      <c r="H69" s="819">
        <v>0.11878499915153599</v>
      </c>
      <c r="I69" s="819">
        <v>3.26985080081975</v>
      </c>
      <c r="J69" s="819">
        <v>5.1403882050411802</v>
      </c>
      <c r="K69" s="819">
        <v>4.6247829889438599</v>
      </c>
      <c r="L69" s="819">
        <v>3.9264316203057099</v>
      </c>
      <c r="M69" s="819">
        <v>2.1081074025245101</v>
      </c>
      <c r="N69" s="819">
        <v>1.2361471889725799</v>
      </c>
      <c r="O69" s="819">
        <v>0.76231252202743804</v>
      </c>
      <c r="P69" s="819">
        <v>0.30936312965839502</v>
      </c>
      <c r="Q69" s="819">
        <v>9.6594394914435694E-2</v>
      </c>
      <c r="R69" s="819">
        <v>2.87172525421295E-2</v>
      </c>
      <c r="S69" s="819">
        <v>0</v>
      </c>
      <c r="T69" s="819">
        <v>0</v>
      </c>
      <c r="U69" s="819">
        <v>0</v>
      </c>
      <c r="V69" s="819">
        <v>0</v>
      </c>
      <c r="W69" s="820">
        <v>0</v>
      </c>
    </row>
    <row r="70" spans="1:23" x14ac:dyDescent="0.35">
      <c r="A70" s="901"/>
      <c r="B70" s="805">
        <f t="shared" si="17"/>
        <v>2.25</v>
      </c>
      <c r="C70" s="818">
        <v>0</v>
      </c>
      <c r="D70" s="819">
        <v>0</v>
      </c>
      <c r="E70" s="819">
        <v>0</v>
      </c>
      <c r="F70" s="819">
        <v>0</v>
      </c>
      <c r="G70" s="819">
        <v>0</v>
      </c>
      <c r="H70" s="819">
        <v>0</v>
      </c>
      <c r="I70" s="819">
        <v>0.91895208134814499</v>
      </c>
      <c r="J70" s="819">
        <v>5.2500358965656799</v>
      </c>
      <c r="K70" s="819">
        <v>3.67580832539258</v>
      </c>
      <c r="L70" s="819">
        <v>4.1392003550496703</v>
      </c>
      <c r="M70" s="819">
        <v>2.8651986059079202</v>
      </c>
      <c r="N70" s="819">
        <v>1.31055097964991</v>
      </c>
      <c r="O70" s="819">
        <v>0.843242961009803</v>
      </c>
      <c r="P70" s="819">
        <v>0.422926810165907</v>
      </c>
      <c r="Q70" s="819">
        <v>0.198410108472895</v>
      </c>
      <c r="R70" s="819">
        <v>7.5709120338341401E-2</v>
      </c>
      <c r="S70" s="819">
        <v>1.9579944915088299E-2</v>
      </c>
      <c r="T70" s="819">
        <v>0</v>
      </c>
      <c r="U70" s="819">
        <v>0</v>
      </c>
      <c r="V70" s="819">
        <v>0</v>
      </c>
      <c r="W70" s="820">
        <v>0</v>
      </c>
    </row>
    <row r="71" spans="1:23" x14ac:dyDescent="0.35">
      <c r="A71" s="901"/>
      <c r="B71" s="805">
        <f t="shared" si="17"/>
        <v>2.75</v>
      </c>
      <c r="C71" s="818">
        <v>0</v>
      </c>
      <c r="D71" s="819">
        <v>0</v>
      </c>
      <c r="E71" s="819">
        <v>0</v>
      </c>
      <c r="F71" s="819">
        <v>0</v>
      </c>
      <c r="G71" s="819">
        <v>0</v>
      </c>
      <c r="H71" s="819">
        <v>0</v>
      </c>
      <c r="I71" s="819">
        <v>0.13705961440561801</v>
      </c>
      <c r="J71" s="819">
        <v>2.4279131694709499</v>
      </c>
      <c r="K71" s="819">
        <v>2.5963006957407102</v>
      </c>
      <c r="L71" s="819">
        <v>2.81820673811171</v>
      </c>
      <c r="M71" s="819">
        <v>2.8469239906538402</v>
      </c>
      <c r="N71" s="819">
        <v>1.5663955932070599</v>
      </c>
      <c r="O71" s="819">
        <v>0.796251093213591</v>
      </c>
      <c r="P71" s="819">
        <v>0.31719510762443098</v>
      </c>
      <c r="Q71" s="819">
        <v>0.144891592371653</v>
      </c>
      <c r="R71" s="819">
        <v>5.6129175423253103E-2</v>
      </c>
      <c r="S71" s="819">
        <v>1.8274615254082398E-2</v>
      </c>
      <c r="T71" s="819">
        <v>0</v>
      </c>
      <c r="U71" s="819">
        <v>0</v>
      </c>
      <c r="V71" s="819">
        <v>0</v>
      </c>
      <c r="W71" s="820">
        <v>0</v>
      </c>
    </row>
    <row r="72" spans="1:23" x14ac:dyDescent="0.35">
      <c r="A72" s="901"/>
      <c r="B72" s="805">
        <f t="shared" si="17"/>
        <v>3.25</v>
      </c>
      <c r="C72" s="818">
        <v>0</v>
      </c>
      <c r="D72" s="819">
        <v>0</v>
      </c>
      <c r="E72" s="819">
        <v>0</v>
      </c>
      <c r="F72" s="819">
        <v>0</v>
      </c>
      <c r="G72" s="819">
        <v>0</v>
      </c>
      <c r="H72" s="819">
        <v>0</v>
      </c>
      <c r="I72" s="819">
        <v>0</v>
      </c>
      <c r="J72" s="819">
        <v>0.44511741440300701</v>
      </c>
      <c r="K72" s="819">
        <v>1.5428996593089599</v>
      </c>
      <c r="L72" s="819">
        <v>1.46980119829263</v>
      </c>
      <c r="M72" s="819">
        <v>1.95929982116984</v>
      </c>
      <c r="N72" s="819">
        <v>1.4201986711744099</v>
      </c>
      <c r="O72" s="819">
        <v>0.78972444490856197</v>
      </c>
      <c r="P72" s="819">
        <v>0.31850043728543698</v>
      </c>
      <c r="Q72" s="819">
        <v>0.10703703220248301</v>
      </c>
      <c r="R72" s="819">
        <v>4.0465219491182501E-2</v>
      </c>
      <c r="S72" s="819">
        <v>1.9579944915088299E-2</v>
      </c>
      <c r="T72" s="819">
        <v>1.1747966949053E-2</v>
      </c>
      <c r="U72" s="819">
        <v>1.0442637288047099E-2</v>
      </c>
      <c r="V72" s="819">
        <v>0</v>
      </c>
      <c r="W72" s="820">
        <v>0</v>
      </c>
    </row>
    <row r="73" spans="1:23" x14ac:dyDescent="0.35">
      <c r="A73" s="901"/>
      <c r="B73" s="805">
        <f t="shared" si="17"/>
        <v>3.75</v>
      </c>
      <c r="C73" s="818">
        <v>0</v>
      </c>
      <c r="D73" s="819">
        <v>0</v>
      </c>
      <c r="E73" s="819">
        <v>0</v>
      </c>
      <c r="F73" s="819">
        <v>0</v>
      </c>
      <c r="G73" s="819">
        <v>0</v>
      </c>
      <c r="H73" s="819">
        <v>0</v>
      </c>
      <c r="I73" s="819">
        <v>0</v>
      </c>
      <c r="J73" s="819">
        <v>4.8297197457217798E-2</v>
      </c>
      <c r="K73" s="819">
        <v>0.49080395253821402</v>
      </c>
      <c r="L73" s="819">
        <v>0.62916889660483799</v>
      </c>
      <c r="M73" s="819">
        <v>1.0768969703298601</v>
      </c>
      <c r="N73" s="819">
        <v>1.0064091686355401</v>
      </c>
      <c r="O73" s="819">
        <v>0.62786356694383205</v>
      </c>
      <c r="P73" s="819">
        <v>0.29108851440431299</v>
      </c>
      <c r="Q73" s="819">
        <v>0.101815713558459</v>
      </c>
      <c r="R73" s="819">
        <v>4.8297197457217798E-2</v>
      </c>
      <c r="S73" s="819">
        <v>1.8274615254082398E-2</v>
      </c>
      <c r="T73" s="819">
        <v>0</v>
      </c>
      <c r="U73" s="819">
        <v>0</v>
      </c>
      <c r="V73" s="819">
        <v>0</v>
      </c>
      <c r="W73" s="820">
        <v>0</v>
      </c>
    </row>
    <row r="74" spans="1:23" x14ac:dyDescent="0.35">
      <c r="A74" s="901"/>
      <c r="B74" s="805">
        <f t="shared" si="17"/>
        <v>4.25</v>
      </c>
      <c r="C74" s="818">
        <v>0</v>
      </c>
      <c r="D74" s="819">
        <v>0</v>
      </c>
      <c r="E74" s="819">
        <v>0</v>
      </c>
      <c r="F74" s="819">
        <v>0</v>
      </c>
      <c r="G74" s="819">
        <v>0</v>
      </c>
      <c r="H74" s="819">
        <v>0</v>
      </c>
      <c r="I74" s="819">
        <v>0</v>
      </c>
      <c r="J74" s="819">
        <v>0</v>
      </c>
      <c r="K74" s="819">
        <v>9.39837355924239E-2</v>
      </c>
      <c r="L74" s="819">
        <v>0.20885274576094201</v>
      </c>
      <c r="M74" s="819">
        <v>0.44903340338602499</v>
      </c>
      <c r="N74" s="819">
        <v>0.55868109491051998</v>
      </c>
      <c r="O74" s="819">
        <v>0.41640016186087803</v>
      </c>
      <c r="P74" s="819">
        <v>0.211463405082954</v>
      </c>
      <c r="Q74" s="819">
        <v>6.7877142372306104E-2</v>
      </c>
      <c r="R74" s="819">
        <v>2.3495933898105999E-2</v>
      </c>
      <c r="S74" s="819">
        <v>2.0885274576094199E-2</v>
      </c>
      <c r="T74" s="819">
        <v>0</v>
      </c>
      <c r="U74" s="819">
        <v>0</v>
      </c>
      <c r="V74" s="819">
        <v>0</v>
      </c>
      <c r="W74" s="820">
        <v>0</v>
      </c>
    </row>
    <row r="75" spans="1:23" x14ac:dyDescent="0.35">
      <c r="A75" s="901"/>
      <c r="B75" s="805">
        <f t="shared" si="17"/>
        <v>4.75</v>
      </c>
      <c r="C75" s="818">
        <v>0</v>
      </c>
      <c r="D75" s="819">
        <v>0</v>
      </c>
      <c r="E75" s="819">
        <v>0</v>
      </c>
      <c r="F75" s="819">
        <v>0</v>
      </c>
      <c r="G75" s="819">
        <v>0</v>
      </c>
      <c r="H75" s="819">
        <v>0</v>
      </c>
      <c r="I75" s="819">
        <v>0</v>
      </c>
      <c r="J75" s="819">
        <v>0</v>
      </c>
      <c r="K75" s="819">
        <v>1.9579944915088299E-2</v>
      </c>
      <c r="L75" s="819">
        <v>8.2235768643370899E-2</v>
      </c>
      <c r="M75" s="819">
        <v>0.121395658473547</v>
      </c>
      <c r="N75" s="819">
        <v>0.26367659152318901</v>
      </c>
      <c r="O75" s="819">
        <v>0.266287250845201</v>
      </c>
      <c r="P75" s="819">
        <v>0.186662141523842</v>
      </c>
      <c r="Q75" s="819">
        <v>7.1793131355323794E-2</v>
      </c>
      <c r="R75" s="819">
        <v>2.3495933898105999E-2</v>
      </c>
      <c r="S75" s="819">
        <v>1.0442637288047099E-2</v>
      </c>
      <c r="T75" s="819">
        <v>0</v>
      </c>
      <c r="U75" s="819">
        <v>0</v>
      </c>
      <c r="V75" s="819">
        <v>0</v>
      </c>
      <c r="W75" s="820">
        <v>0</v>
      </c>
    </row>
    <row r="76" spans="1:23" x14ac:dyDescent="0.35">
      <c r="A76" s="901"/>
      <c r="B76" s="805">
        <f t="shared" si="17"/>
        <v>5.25</v>
      </c>
      <c r="C76" s="818">
        <v>0</v>
      </c>
      <c r="D76" s="819">
        <v>0</v>
      </c>
      <c r="E76" s="819">
        <v>0</v>
      </c>
      <c r="F76" s="819">
        <v>0</v>
      </c>
      <c r="G76" s="819">
        <v>0</v>
      </c>
      <c r="H76" s="819">
        <v>0</v>
      </c>
      <c r="I76" s="819">
        <v>0</v>
      </c>
      <c r="J76" s="819">
        <v>0</v>
      </c>
      <c r="K76" s="819">
        <v>0</v>
      </c>
      <c r="L76" s="819">
        <v>2.7411922881123599E-2</v>
      </c>
      <c r="M76" s="819">
        <v>2.7411922881123599E-2</v>
      </c>
      <c r="N76" s="819">
        <v>0.105731702541477</v>
      </c>
      <c r="O76" s="819">
        <v>0.151418240676683</v>
      </c>
      <c r="P76" s="819">
        <v>0.13053296610058901</v>
      </c>
      <c r="Q76" s="819">
        <v>7.0487801694317898E-2</v>
      </c>
      <c r="R76" s="819">
        <v>2.0885274576094199E-2</v>
      </c>
      <c r="S76" s="819">
        <v>0</v>
      </c>
      <c r="T76" s="819">
        <v>0</v>
      </c>
      <c r="U76" s="819">
        <v>0</v>
      </c>
      <c r="V76" s="819">
        <v>0</v>
      </c>
      <c r="W76" s="820">
        <v>0</v>
      </c>
    </row>
    <row r="77" spans="1:23" x14ac:dyDescent="0.35">
      <c r="A77" s="901"/>
      <c r="B77" s="805">
        <f t="shared" si="17"/>
        <v>5.75</v>
      </c>
      <c r="C77" s="818">
        <v>0</v>
      </c>
      <c r="D77" s="819">
        <v>0</v>
      </c>
      <c r="E77" s="819">
        <v>0</v>
      </c>
      <c r="F77" s="819">
        <v>0</v>
      </c>
      <c r="G77" s="819">
        <v>0</v>
      </c>
      <c r="H77" s="819">
        <v>0</v>
      </c>
      <c r="I77" s="819">
        <v>0</v>
      </c>
      <c r="J77" s="819">
        <v>0</v>
      </c>
      <c r="K77" s="819">
        <v>0</v>
      </c>
      <c r="L77" s="819">
        <v>0</v>
      </c>
      <c r="M77" s="819">
        <v>0</v>
      </c>
      <c r="N77" s="819">
        <v>2.2190604237100099E-2</v>
      </c>
      <c r="O77" s="819">
        <v>7.3098461016329705E-2</v>
      </c>
      <c r="P77" s="819">
        <v>5.4823845762247303E-2</v>
      </c>
      <c r="Q77" s="819">
        <v>4.5686538135205998E-2</v>
      </c>
      <c r="R77" s="819">
        <v>1.8274615254082398E-2</v>
      </c>
      <c r="S77" s="819">
        <v>0</v>
      </c>
      <c r="T77" s="819">
        <v>0</v>
      </c>
      <c r="U77" s="819">
        <v>0</v>
      </c>
      <c r="V77" s="819">
        <v>0</v>
      </c>
      <c r="W77" s="820">
        <v>0</v>
      </c>
    </row>
    <row r="78" spans="1:23" x14ac:dyDescent="0.35">
      <c r="A78" s="901"/>
      <c r="B78" s="805">
        <f t="shared" si="17"/>
        <v>6.25</v>
      </c>
      <c r="C78" s="818">
        <v>0</v>
      </c>
      <c r="D78" s="819">
        <v>0</v>
      </c>
      <c r="E78" s="819">
        <v>0</v>
      </c>
      <c r="F78" s="819">
        <v>0</v>
      </c>
      <c r="G78" s="819">
        <v>0</v>
      </c>
      <c r="H78" s="819">
        <v>0</v>
      </c>
      <c r="I78" s="819">
        <v>0</v>
      </c>
      <c r="J78" s="819">
        <v>0</v>
      </c>
      <c r="K78" s="819">
        <v>0</v>
      </c>
      <c r="L78" s="819">
        <v>0</v>
      </c>
      <c r="M78" s="819">
        <v>0</v>
      </c>
      <c r="N78" s="819">
        <v>0</v>
      </c>
      <c r="O78" s="819">
        <v>3.2633241525147197E-2</v>
      </c>
      <c r="P78" s="819">
        <v>4.0465219491182501E-2</v>
      </c>
      <c r="Q78" s="819">
        <v>2.0885274576094199E-2</v>
      </c>
      <c r="R78" s="819">
        <v>1.1747966949053E-2</v>
      </c>
      <c r="S78" s="819">
        <v>0</v>
      </c>
      <c r="T78" s="819">
        <v>0</v>
      </c>
      <c r="U78" s="819">
        <v>0</v>
      </c>
      <c r="V78" s="819">
        <v>0</v>
      </c>
      <c r="W78" s="820">
        <v>0</v>
      </c>
    </row>
    <row r="79" spans="1:23" x14ac:dyDescent="0.35">
      <c r="A79" s="901"/>
      <c r="B79" s="805">
        <f t="shared" si="17"/>
        <v>6.75</v>
      </c>
      <c r="C79" s="818">
        <v>0</v>
      </c>
      <c r="D79" s="819">
        <v>0</v>
      </c>
      <c r="E79" s="819">
        <v>0</v>
      </c>
      <c r="F79" s="819">
        <v>0</v>
      </c>
      <c r="G79" s="819">
        <v>0</v>
      </c>
      <c r="H79" s="819">
        <v>0</v>
      </c>
      <c r="I79" s="819">
        <v>0</v>
      </c>
      <c r="J79" s="819">
        <v>0</v>
      </c>
      <c r="K79" s="819">
        <v>0</v>
      </c>
      <c r="L79" s="819">
        <v>0</v>
      </c>
      <c r="M79" s="819">
        <v>0</v>
      </c>
      <c r="N79" s="819">
        <v>0</v>
      </c>
      <c r="O79" s="819">
        <v>0</v>
      </c>
      <c r="P79" s="819">
        <v>2.0885274576094199E-2</v>
      </c>
      <c r="Q79" s="819">
        <v>1.8274615254082398E-2</v>
      </c>
      <c r="R79" s="819">
        <v>0</v>
      </c>
      <c r="S79" s="819">
        <v>0</v>
      </c>
      <c r="T79" s="819">
        <v>0</v>
      </c>
      <c r="U79" s="819">
        <v>0</v>
      </c>
      <c r="V79" s="819">
        <v>0</v>
      </c>
      <c r="W79" s="820">
        <v>0</v>
      </c>
    </row>
    <row r="80" spans="1:23" x14ac:dyDescent="0.35">
      <c r="A80" s="901"/>
      <c r="B80" s="805">
        <f t="shared" si="17"/>
        <v>7.25</v>
      </c>
      <c r="C80" s="818">
        <v>0</v>
      </c>
      <c r="D80" s="819">
        <v>0</v>
      </c>
      <c r="E80" s="819">
        <v>0</v>
      </c>
      <c r="F80" s="819">
        <v>0</v>
      </c>
      <c r="G80" s="819">
        <v>0</v>
      </c>
      <c r="H80" s="819">
        <v>0</v>
      </c>
      <c r="I80" s="819">
        <v>0</v>
      </c>
      <c r="J80" s="819">
        <v>0</v>
      </c>
      <c r="K80" s="819">
        <v>0</v>
      </c>
      <c r="L80" s="819">
        <v>0</v>
      </c>
      <c r="M80" s="819">
        <v>0</v>
      </c>
      <c r="N80" s="819">
        <v>0</v>
      </c>
      <c r="O80" s="819">
        <v>0</v>
      </c>
      <c r="P80" s="819">
        <v>0</v>
      </c>
      <c r="Q80" s="819">
        <v>0</v>
      </c>
      <c r="R80" s="819">
        <v>0</v>
      </c>
      <c r="S80" s="819">
        <v>0</v>
      </c>
      <c r="T80" s="819">
        <v>0</v>
      </c>
      <c r="U80" s="819">
        <v>0</v>
      </c>
      <c r="V80" s="819">
        <v>0</v>
      </c>
      <c r="W80" s="820">
        <v>0</v>
      </c>
    </row>
    <row r="81" spans="1:23" x14ac:dyDescent="0.35">
      <c r="A81" s="901"/>
      <c r="B81" s="805">
        <f t="shared" si="17"/>
        <v>7.75</v>
      </c>
      <c r="C81" s="818">
        <v>0</v>
      </c>
      <c r="D81" s="819">
        <v>0</v>
      </c>
      <c r="E81" s="819">
        <v>0</v>
      </c>
      <c r="F81" s="819">
        <v>0</v>
      </c>
      <c r="G81" s="819">
        <v>0</v>
      </c>
      <c r="H81" s="819">
        <v>0</v>
      </c>
      <c r="I81" s="819">
        <v>0</v>
      </c>
      <c r="J81" s="819">
        <v>0</v>
      </c>
      <c r="K81" s="819">
        <v>0</v>
      </c>
      <c r="L81" s="819">
        <v>0</v>
      </c>
      <c r="M81" s="819">
        <v>0</v>
      </c>
      <c r="N81" s="819">
        <v>0</v>
      </c>
      <c r="O81" s="819">
        <v>0</v>
      </c>
      <c r="P81" s="819">
        <v>0</v>
      </c>
      <c r="Q81" s="819">
        <v>0</v>
      </c>
      <c r="R81" s="819">
        <v>0</v>
      </c>
      <c r="S81" s="819">
        <v>0</v>
      </c>
      <c r="T81" s="819">
        <v>0</v>
      </c>
      <c r="U81" s="819">
        <v>0</v>
      </c>
      <c r="V81" s="819">
        <v>0</v>
      </c>
      <c r="W81" s="820">
        <v>0</v>
      </c>
    </row>
    <row r="82" spans="1:23" x14ac:dyDescent="0.35">
      <c r="A82" s="901"/>
      <c r="B82" s="805">
        <f t="shared" si="17"/>
        <v>8.25</v>
      </c>
      <c r="C82" s="818">
        <v>0</v>
      </c>
      <c r="D82" s="819">
        <v>0</v>
      </c>
      <c r="E82" s="819">
        <v>0</v>
      </c>
      <c r="F82" s="819">
        <v>0</v>
      </c>
      <c r="G82" s="819">
        <v>0</v>
      </c>
      <c r="H82" s="819">
        <v>0</v>
      </c>
      <c r="I82" s="819">
        <v>0</v>
      </c>
      <c r="J82" s="819">
        <v>0</v>
      </c>
      <c r="K82" s="819">
        <v>0</v>
      </c>
      <c r="L82" s="819">
        <v>0</v>
      </c>
      <c r="M82" s="819">
        <v>0</v>
      </c>
      <c r="N82" s="819">
        <v>0</v>
      </c>
      <c r="O82" s="819">
        <v>0</v>
      </c>
      <c r="P82" s="819">
        <v>0</v>
      </c>
      <c r="Q82" s="819">
        <v>0</v>
      </c>
      <c r="R82" s="819">
        <v>0</v>
      </c>
      <c r="S82" s="819">
        <v>0</v>
      </c>
      <c r="T82" s="819">
        <v>0</v>
      </c>
      <c r="U82" s="819">
        <v>0</v>
      </c>
      <c r="V82" s="819">
        <v>0</v>
      </c>
      <c r="W82" s="820">
        <v>0</v>
      </c>
    </row>
    <row r="83" spans="1:23" x14ac:dyDescent="0.35">
      <c r="A83" s="901"/>
      <c r="B83" s="805">
        <f t="shared" si="17"/>
        <v>8.75</v>
      </c>
      <c r="C83" s="818">
        <v>0</v>
      </c>
      <c r="D83" s="819">
        <v>0</v>
      </c>
      <c r="E83" s="819">
        <v>0</v>
      </c>
      <c r="F83" s="819">
        <v>0</v>
      </c>
      <c r="G83" s="819">
        <v>0</v>
      </c>
      <c r="H83" s="819">
        <v>0</v>
      </c>
      <c r="I83" s="819">
        <v>0</v>
      </c>
      <c r="J83" s="819">
        <v>0</v>
      </c>
      <c r="K83" s="819">
        <v>0</v>
      </c>
      <c r="L83" s="819">
        <v>0</v>
      </c>
      <c r="M83" s="819">
        <v>0</v>
      </c>
      <c r="N83" s="819">
        <v>0</v>
      </c>
      <c r="O83" s="819">
        <v>0</v>
      </c>
      <c r="P83" s="819">
        <v>0</v>
      </c>
      <c r="Q83" s="819">
        <v>0</v>
      </c>
      <c r="R83" s="819">
        <v>0</v>
      </c>
      <c r="S83" s="819">
        <v>0</v>
      </c>
      <c r="T83" s="819">
        <v>0</v>
      </c>
      <c r="U83" s="819">
        <v>0</v>
      </c>
      <c r="V83" s="819">
        <v>0</v>
      </c>
      <c r="W83" s="820">
        <v>0</v>
      </c>
    </row>
    <row r="84" spans="1:23" x14ac:dyDescent="0.35">
      <c r="A84" s="901"/>
      <c r="B84" s="805">
        <f t="shared" si="17"/>
        <v>9.25</v>
      </c>
      <c r="C84" s="818">
        <v>0</v>
      </c>
      <c r="D84" s="819">
        <v>0</v>
      </c>
      <c r="E84" s="819">
        <v>0</v>
      </c>
      <c r="F84" s="819">
        <v>0</v>
      </c>
      <c r="G84" s="819">
        <v>0</v>
      </c>
      <c r="H84" s="819">
        <v>0</v>
      </c>
      <c r="I84" s="819">
        <v>0</v>
      </c>
      <c r="J84" s="819">
        <v>0</v>
      </c>
      <c r="K84" s="819">
        <v>0</v>
      </c>
      <c r="L84" s="819">
        <v>0</v>
      </c>
      <c r="M84" s="819">
        <v>0</v>
      </c>
      <c r="N84" s="819">
        <v>0</v>
      </c>
      <c r="O84" s="819">
        <v>0</v>
      </c>
      <c r="P84" s="819">
        <v>0</v>
      </c>
      <c r="Q84" s="819">
        <v>0</v>
      </c>
      <c r="R84" s="819">
        <v>0</v>
      </c>
      <c r="S84" s="819">
        <v>0</v>
      </c>
      <c r="T84" s="819">
        <v>0</v>
      </c>
      <c r="U84" s="819">
        <v>0</v>
      </c>
      <c r="V84" s="819">
        <v>0</v>
      </c>
      <c r="W84" s="820">
        <v>0</v>
      </c>
    </row>
    <row r="85" spans="1:23" ht="15" thickBot="1" x14ac:dyDescent="0.4">
      <c r="A85" s="902"/>
      <c r="B85" s="808">
        <f t="shared" si="17"/>
        <v>9.75</v>
      </c>
      <c r="C85" s="821">
        <v>0</v>
      </c>
      <c r="D85" s="822">
        <v>0</v>
      </c>
      <c r="E85" s="822">
        <v>0</v>
      </c>
      <c r="F85" s="822">
        <v>0</v>
      </c>
      <c r="G85" s="822">
        <v>0</v>
      </c>
      <c r="H85" s="822">
        <v>0</v>
      </c>
      <c r="I85" s="822">
        <v>0</v>
      </c>
      <c r="J85" s="822">
        <v>0</v>
      </c>
      <c r="K85" s="822">
        <v>0</v>
      </c>
      <c r="L85" s="822">
        <v>0</v>
      </c>
      <c r="M85" s="822">
        <v>0</v>
      </c>
      <c r="N85" s="822">
        <v>0</v>
      </c>
      <c r="O85" s="822">
        <v>0</v>
      </c>
      <c r="P85" s="822">
        <v>0</v>
      </c>
      <c r="Q85" s="822">
        <v>0</v>
      </c>
      <c r="R85" s="822">
        <v>0</v>
      </c>
      <c r="S85" s="822">
        <v>0</v>
      </c>
      <c r="T85" s="822">
        <v>0</v>
      </c>
      <c r="U85" s="822">
        <v>0</v>
      </c>
      <c r="V85" s="822">
        <v>0</v>
      </c>
      <c r="W85" s="823">
        <v>0</v>
      </c>
    </row>
    <row r="86" spans="1:23" ht="15" thickBot="1" x14ac:dyDescent="0.4">
      <c r="A86" s="812"/>
      <c r="B86" s="545"/>
      <c r="C86" s="813">
        <f>C65*1.16</f>
        <v>0.57999999999999996</v>
      </c>
      <c r="D86" s="813">
        <f t="shared" ref="D86:W86" si="18">D65*1.16</f>
        <v>1.7399999999999998</v>
      </c>
      <c r="E86" s="813">
        <f t="shared" si="18"/>
        <v>2.9</v>
      </c>
      <c r="F86" s="813">
        <f t="shared" si="18"/>
        <v>4.0599999999999996</v>
      </c>
      <c r="G86" s="813">
        <f t="shared" si="18"/>
        <v>5.22</v>
      </c>
      <c r="H86" s="813">
        <f t="shared" si="18"/>
        <v>6.38</v>
      </c>
      <c r="I86" s="813">
        <f t="shared" si="18"/>
        <v>7.5399999999999991</v>
      </c>
      <c r="J86" s="813">
        <f t="shared" si="18"/>
        <v>8.6999999999999993</v>
      </c>
      <c r="K86" s="813">
        <f t="shared" si="18"/>
        <v>9.86</v>
      </c>
      <c r="L86" s="813">
        <f t="shared" si="18"/>
        <v>11.02</v>
      </c>
      <c r="M86" s="813">
        <f t="shared" si="18"/>
        <v>12.18</v>
      </c>
      <c r="N86" s="813">
        <f t="shared" si="18"/>
        <v>13.34</v>
      </c>
      <c r="O86" s="813">
        <f t="shared" si="18"/>
        <v>14.499999999999998</v>
      </c>
      <c r="P86" s="813">
        <f t="shared" si="18"/>
        <v>15.659999999999998</v>
      </c>
      <c r="Q86" s="813">
        <f t="shared" si="18"/>
        <v>16.82</v>
      </c>
      <c r="R86" s="813">
        <f t="shared" si="18"/>
        <v>17.98</v>
      </c>
      <c r="S86" s="813">
        <f t="shared" si="18"/>
        <v>19.139999999999997</v>
      </c>
      <c r="T86" s="813">
        <f t="shared" si="18"/>
        <v>20.299999999999997</v>
      </c>
      <c r="U86" s="813">
        <f t="shared" si="18"/>
        <v>21.459999999999997</v>
      </c>
      <c r="V86" s="813">
        <f t="shared" si="18"/>
        <v>22.619999999999997</v>
      </c>
      <c r="W86" s="813">
        <f t="shared" si="18"/>
        <v>23.779999999999998</v>
      </c>
    </row>
    <row r="87" spans="1:23" ht="15" thickBot="1" x14ac:dyDescent="0.4">
      <c r="A87" s="812"/>
      <c r="B87" s="545"/>
      <c r="C87" s="893" t="s">
        <v>1375</v>
      </c>
      <c r="D87" s="894"/>
      <c r="E87" s="894"/>
      <c r="F87" s="894"/>
      <c r="G87" s="894"/>
      <c r="H87" s="894"/>
      <c r="I87" s="894"/>
      <c r="J87" s="894"/>
      <c r="K87" s="894"/>
      <c r="L87" s="894"/>
      <c r="M87" s="894"/>
      <c r="N87" s="894"/>
      <c r="O87" s="894"/>
      <c r="P87" s="894"/>
      <c r="Q87" s="894"/>
      <c r="R87" s="894"/>
      <c r="S87" s="894"/>
      <c r="T87" s="894"/>
      <c r="U87" s="894"/>
      <c r="V87" s="894"/>
      <c r="W87" s="895"/>
    </row>
    <row r="88" spans="1:23" x14ac:dyDescent="0.35">
      <c r="V88" s="725" t="s">
        <v>84</v>
      </c>
      <c r="W88" s="355">
        <f>SUM(C66:W85)</f>
        <v>99.827696484747221</v>
      </c>
    </row>
    <row r="90" spans="1:23" x14ac:dyDescent="0.35">
      <c r="A90" s="725" t="s">
        <v>1379</v>
      </c>
    </row>
    <row r="91" spans="1:23" ht="15" thickBot="1" x14ac:dyDescent="0.4"/>
    <row r="92" spans="1:23" ht="15" thickBot="1" x14ac:dyDescent="0.4">
      <c r="A92" s="896"/>
      <c r="B92" s="897"/>
      <c r="C92" s="893" t="s">
        <v>1373</v>
      </c>
      <c r="D92" s="894"/>
      <c r="E92" s="894"/>
      <c r="F92" s="894"/>
      <c r="G92" s="894"/>
      <c r="H92" s="894"/>
      <c r="I92" s="894"/>
      <c r="J92" s="894"/>
      <c r="K92" s="894"/>
      <c r="L92" s="894"/>
      <c r="M92" s="894"/>
      <c r="N92" s="894"/>
      <c r="O92" s="894"/>
      <c r="P92" s="894"/>
      <c r="Q92" s="894"/>
      <c r="R92" s="894"/>
      <c r="S92" s="894"/>
      <c r="T92" s="894"/>
      <c r="U92" s="894"/>
      <c r="V92" s="894"/>
      <c r="W92" s="895"/>
    </row>
    <row r="93" spans="1:23" ht="15" thickBot="1" x14ac:dyDescent="0.4">
      <c r="A93" s="898"/>
      <c r="B93" s="899"/>
      <c r="C93" s="798">
        <v>0.5</v>
      </c>
      <c r="D93" s="799">
        <f>C93+1</f>
        <v>1.5</v>
      </c>
      <c r="E93" s="799">
        <f t="shared" ref="E93" si="19">D93+1</f>
        <v>2.5</v>
      </c>
      <c r="F93" s="799">
        <f>E93+1</f>
        <v>3.5</v>
      </c>
      <c r="G93" s="799">
        <f t="shared" ref="G93:W93" si="20">F93+1</f>
        <v>4.5</v>
      </c>
      <c r="H93" s="799">
        <f t="shared" si="20"/>
        <v>5.5</v>
      </c>
      <c r="I93" s="799">
        <f t="shared" si="20"/>
        <v>6.5</v>
      </c>
      <c r="J93" s="799">
        <f t="shared" si="20"/>
        <v>7.5</v>
      </c>
      <c r="K93" s="799">
        <f t="shared" si="20"/>
        <v>8.5</v>
      </c>
      <c r="L93" s="799">
        <f t="shared" si="20"/>
        <v>9.5</v>
      </c>
      <c r="M93" s="799">
        <f t="shared" si="20"/>
        <v>10.5</v>
      </c>
      <c r="N93" s="799">
        <f t="shared" si="20"/>
        <v>11.5</v>
      </c>
      <c r="O93" s="799">
        <f t="shared" si="20"/>
        <v>12.5</v>
      </c>
      <c r="P93" s="799">
        <f t="shared" si="20"/>
        <v>13.5</v>
      </c>
      <c r="Q93" s="799">
        <f t="shared" si="20"/>
        <v>14.5</v>
      </c>
      <c r="R93" s="799">
        <f t="shared" si="20"/>
        <v>15.5</v>
      </c>
      <c r="S93" s="799">
        <f t="shared" si="20"/>
        <v>16.5</v>
      </c>
      <c r="T93" s="799">
        <f t="shared" si="20"/>
        <v>17.5</v>
      </c>
      <c r="U93" s="799">
        <f t="shared" si="20"/>
        <v>18.5</v>
      </c>
      <c r="V93" s="799">
        <f t="shared" si="20"/>
        <v>19.5</v>
      </c>
      <c r="W93" s="800">
        <f t="shared" si="20"/>
        <v>20.5</v>
      </c>
    </row>
    <row r="94" spans="1:23" x14ac:dyDescent="0.35">
      <c r="A94" s="900" t="s">
        <v>1374</v>
      </c>
      <c r="B94" s="801">
        <v>0.25</v>
      </c>
      <c r="C94" s="815">
        <f>C38*C66</f>
        <v>0</v>
      </c>
      <c r="D94" s="816">
        <f t="shared" ref="D94:W94" si="21">D38*D66</f>
        <v>0</v>
      </c>
      <c r="E94" s="816">
        <f t="shared" si="21"/>
        <v>0</v>
      </c>
      <c r="F94" s="816">
        <f t="shared" si="21"/>
        <v>0</v>
      </c>
      <c r="G94" s="816">
        <f t="shared" si="21"/>
        <v>0</v>
      </c>
      <c r="H94" s="816">
        <f t="shared" si="21"/>
        <v>0</v>
      </c>
      <c r="I94" s="816">
        <f t="shared" si="21"/>
        <v>0</v>
      </c>
      <c r="J94" s="816">
        <f t="shared" si="21"/>
        <v>1.2712130683551941E-2</v>
      </c>
      <c r="K94" s="816">
        <f t="shared" si="21"/>
        <v>2.3002664122870383E-2</v>
      </c>
      <c r="L94" s="816">
        <f t="shared" si="21"/>
        <v>0</v>
      </c>
      <c r="M94" s="816">
        <f t="shared" si="21"/>
        <v>0</v>
      </c>
      <c r="N94" s="816">
        <f t="shared" si="21"/>
        <v>0</v>
      </c>
      <c r="O94" s="816">
        <f t="shared" si="21"/>
        <v>0</v>
      </c>
      <c r="P94" s="816">
        <f t="shared" si="21"/>
        <v>0</v>
      </c>
      <c r="Q94" s="816">
        <f t="shared" si="21"/>
        <v>0</v>
      </c>
      <c r="R94" s="816">
        <f t="shared" si="21"/>
        <v>0</v>
      </c>
      <c r="S94" s="816">
        <f t="shared" si="21"/>
        <v>0</v>
      </c>
      <c r="T94" s="816">
        <f t="shared" si="21"/>
        <v>0</v>
      </c>
      <c r="U94" s="816">
        <f t="shared" si="21"/>
        <v>0</v>
      </c>
      <c r="V94" s="816">
        <f t="shared" si="21"/>
        <v>0</v>
      </c>
      <c r="W94" s="817">
        <f t="shared" si="21"/>
        <v>0</v>
      </c>
    </row>
    <row r="95" spans="1:23" x14ac:dyDescent="0.35">
      <c r="A95" s="901"/>
      <c r="B95" s="805">
        <f>B94+0.5</f>
        <v>0.75</v>
      </c>
      <c r="C95" s="818">
        <f t="shared" ref="C95:W107" si="22">C39*C67</f>
        <v>0</v>
      </c>
      <c r="D95" s="819">
        <f t="shared" si="22"/>
        <v>0</v>
      </c>
      <c r="E95" s="819">
        <f t="shared" si="22"/>
        <v>0</v>
      </c>
      <c r="F95" s="819">
        <f t="shared" si="22"/>
        <v>0</v>
      </c>
      <c r="G95" s="819">
        <f t="shared" si="22"/>
        <v>6.9554117539623386E-2</v>
      </c>
      <c r="H95" s="819">
        <f t="shared" si="22"/>
        <v>2.1276049135185002</v>
      </c>
      <c r="I95" s="819">
        <f t="shared" si="22"/>
        <v>7.7383597476378556</v>
      </c>
      <c r="J95" s="819">
        <f t="shared" si="22"/>
        <v>15.666429854409309</v>
      </c>
      <c r="K95" s="819">
        <f t="shared" si="22"/>
        <v>11.62519256055829</v>
      </c>
      <c r="L95" s="819">
        <f t="shared" si="22"/>
        <v>6.745022197877927</v>
      </c>
      <c r="M95" s="819">
        <f t="shared" si="22"/>
        <v>3.2294828778984019</v>
      </c>
      <c r="N95" s="819">
        <f t="shared" si="22"/>
        <v>1.007806157889596</v>
      </c>
      <c r="O95" s="819">
        <f t="shared" si="22"/>
        <v>8.9425087906443698E-2</v>
      </c>
      <c r="P95" s="819">
        <f t="shared" si="22"/>
        <v>0</v>
      </c>
      <c r="Q95" s="819">
        <f t="shared" si="22"/>
        <v>0</v>
      </c>
      <c r="R95" s="819">
        <f t="shared" si="22"/>
        <v>0</v>
      </c>
      <c r="S95" s="819">
        <f t="shared" si="22"/>
        <v>0</v>
      </c>
      <c r="T95" s="819">
        <f t="shared" si="22"/>
        <v>0</v>
      </c>
      <c r="U95" s="819">
        <f t="shared" si="22"/>
        <v>0</v>
      </c>
      <c r="V95" s="819">
        <f t="shared" si="22"/>
        <v>0</v>
      </c>
      <c r="W95" s="820">
        <f t="shared" si="22"/>
        <v>0</v>
      </c>
    </row>
    <row r="96" spans="1:23" x14ac:dyDescent="0.35">
      <c r="A96" s="901"/>
      <c r="B96" s="805">
        <f t="shared" ref="B96:B113" si="23">B95+0.5</f>
        <v>1.25</v>
      </c>
      <c r="C96" s="818">
        <f t="shared" si="22"/>
        <v>0</v>
      </c>
      <c r="D96" s="819">
        <f t="shared" si="22"/>
        <v>0</v>
      </c>
      <c r="E96" s="819">
        <f t="shared" si="22"/>
        <v>0</v>
      </c>
      <c r="F96" s="819">
        <f t="shared" si="22"/>
        <v>0</v>
      </c>
      <c r="G96" s="819">
        <f t="shared" si="22"/>
        <v>0.12880392136967345</v>
      </c>
      <c r="H96" s="819">
        <f t="shared" si="22"/>
        <v>7.487124032434771</v>
      </c>
      <c r="I96" s="819">
        <f t="shared" si="22"/>
        <v>59.371963140349109</v>
      </c>
      <c r="J96" s="819">
        <f t="shared" si="22"/>
        <v>90.213754084273404</v>
      </c>
      <c r="K96" s="819">
        <f t="shared" si="22"/>
        <v>75.886673659199872</v>
      </c>
      <c r="L96" s="819">
        <f t="shared" si="22"/>
        <v>46.419643179512043</v>
      </c>
      <c r="M96" s="819">
        <f t="shared" si="22"/>
        <v>21.450925391093723</v>
      </c>
      <c r="N96" s="819">
        <f t="shared" si="22"/>
        <v>11.026886714822531</v>
      </c>
      <c r="O96" s="819">
        <f t="shared" si="22"/>
        <v>5.1957632093790531</v>
      </c>
      <c r="P96" s="819">
        <f t="shared" si="22"/>
        <v>1.0324163621755165</v>
      </c>
      <c r="Q96" s="819">
        <f t="shared" si="22"/>
        <v>0.27336196836805643</v>
      </c>
      <c r="R96" s="819">
        <f t="shared" si="22"/>
        <v>0.24179112088172536</v>
      </c>
      <c r="S96" s="819">
        <f t="shared" si="22"/>
        <v>0</v>
      </c>
      <c r="T96" s="819">
        <f t="shared" si="22"/>
        <v>0</v>
      </c>
      <c r="U96" s="819">
        <f t="shared" si="22"/>
        <v>0</v>
      </c>
      <c r="V96" s="819">
        <f t="shared" si="22"/>
        <v>0</v>
      </c>
      <c r="W96" s="820">
        <f t="shared" si="22"/>
        <v>0</v>
      </c>
    </row>
    <row r="97" spans="1:23" x14ac:dyDescent="0.35">
      <c r="A97" s="901"/>
      <c r="B97" s="805">
        <f t="shared" si="23"/>
        <v>1.75</v>
      </c>
      <c r="C97" s="818">
        <f t="shared" si="22"/>
        <v>0</v>
      </c>
      <c r="D97" s="819">
        <f t="shared" si="22"/>
        <v>0</v>
      </c>
      <c r="E97" s="819">
        <f t="shared" si="22"/>
        <v>0</v>
      </c>
      <c r="F97" s="819">
        <f t="shared" si="22"/>
        <v>0</v>
      </c>
      <c r="G97" s="819">
        <f t="shared" si="22"/>
        <v>0</v>
      </c>
      <c r="H97" s="819">
        <f t="shared" si="22"/>
        <v>2.960983242627643</v>
      </c>
      <c r="I97" s="819">
        <f t="shared" si="22"/>
        <v>92.658761801171053</v>
      </c>
      <c r="J97" s="819">
        <f t="shared" si="22"/>
        <v>163.5305440639697</v>
      </c>
      <c r="K97" s="819">
        <f t="shared" si="22"/>
        <v>153.59321193765948</v>
      </c>
      <c r="L97" s="819">
        <f t="shared" si="22"/>
        <v>130.57030625027966</v>
      </c>
      <c r="M97" s="819">
        <f t="shared" si="22"/>
        <v>69.428179174814105</v>
      </c>
      <c r="N97" s="819">
        <f t="shared" si="22"/>
        <v>39.665164668830613</v>
      </c>
      <c r="O97" s="819">
        <f t="shared" si="22"/>
        <v>23.69433625491493</v>
      </c>
      <c r="P97" s="819">
        <f t="shared" si="22"/>
        <v>9.2226547799571392</v>
      </c>
      <c r="Q97" s="819">
        <f t="shared" si="22"/>
        <v>2.8320299922930654</v>
      </c>
      <c r="R97" s="819">
        <f t="shared" si="22"/>
        <v>0.80200254864769316</v>
      </c>
      <c r="S97" s="819">
        <f t="shared" si="22"/>
        <v>0</v>
      </c>
      <c r="T97" s="819">
        <f t="shared" si="22"/>
        <v>0</v>
      </c>
      <c r="U97" s="819">
        <f t="shared" si="22"/>
        <v>0</v>
      </c>
      <c r="V97" s="819">
        <f t="shared" si="22"/>
        <v>0</v>
      </c>
      <c r="W97" s="820">
        <f t="shared" si="22"/>
        <v>0</v>
      </c>
    </row>
    <row r="98" spans="1:23" x14ac:dyDescent="0.35">
      <c r="A98" s="901"/>
      <c r="B98" s="805">
        <f t="shared" si="23"/>
        <v>2.25</v>
      </c>
      <c r="C98" s="818">
        <f t="shared" si="22"/>
        <v>0</v>
      </c>
      <c r="D98" s="819">
        <f t="shared" si="22"/>
        <v>0</v>
      </c>
      <c r="E98" s="819">
        <f t="shared" si="22"/>
        <v>0</v>
      </c>
      <c r="F98" s="819">
        <f t="shared" si="22"/>
        <v>0</v>
      </c>
      <c r="G98" s="819">
        <f t="shared" si="22"/>
        <v>0</v>
      </c>
      <c r="H98" s="819">
        <f t="shared" si="22"/>
        <v>0</v>
      </c>
      <c r="I98" s="819">
        <f t="shared" si="22"/>
        <v>43.046749219520123</v>
      </c>
      <c r="J98" s="819">
        <f t="shared" si="22"/>
        <v>276.0922238899272</v>
      </c>
      <c r="K98" s="819">
        <f t="shared" si="22"/>
        <v>201.80060291423933</v>
      </c>
      <c r="L98" s="819">
        <f t="shared" si="22"/>
        <v>227.53686584543598</v>
      </c>
      <c r="M98" s="819">
        <f t="shared" si="22"/>
        <v>155.98639181633999</v>
      </c>
      <c r="N98" s="819">
        <f t="shared" si="22"/>
        <v>69.51554536404872</v>
      </c>
      <c r="O98" s="819">
        <f t="shared" si="22"/>
        <v>43.326455090672063</v>
      </c>
      <c r="P98" s="819">
        <f t="shared" si="22"/>
        <v>20.84210385302638</v>
      </c>
      <c r="Q98" s="819">
        <f t="shared" si="22"/>
        <v>9.6160930129928612</v>
      </c>
      <c r="R98" s="819">
        <f t="shared" si="22"/>
        <v>3.4951836489302965</v>
      </c>
      <c r="S98" s="819">
        <f t="shared" si="22"/>
        <v>0.87932054772981472</v>
      </c>
      <c r="T98" s="819">
        <f t="shared" si="22"/>
        <v>0</v>
      </c>
      <c r="U98" s="819">
        <f t="shared" si="22"/>
        <v>0</v>
      </c>
      <c r="V98" s="819">
        <f t="shared" si="22"/>
        <v>0</v>
      </c>
      <c r="W98" s="820">
        <f t="shared" si="22"/>
        <v>0</v>
      </c>
    </row>
    <row r="99" spans="1:23" x14ac:dyDescent="0.35">
      <c r="A99" s="901"/>
      <c r="B99" s="805">
        <f t="shared" si="23"/>
        <v>2.75</v>
      </c>
      <c r="C99" s="818">
        <f t="shared" si="22"/>
        <v>0</v>
      </c>
      <c r="D99" s="819">
        <f t="shared" si="22"/>
        <v>0</v>
      </c>
      <c r="E99" s="819">
        <f t="shared" si="22"/>
        <v>0</v>
      </c>
      <c r="F99" s="819">
        <f t="shared" si="22"/>
        <v>0</v>
      </c>
      <c r="G99" s="819">
        <f t="shared" si="22"/>
        <v>0</v>
      </c>
      <c r="H99" s="819">
        <f t="shared" si="22"/>
        <v>0</v>
      </c>
      <c r="I99" s="819">
        <f t="shared" si="22"/>
        <v>9.5908555842101677</v>
      </c>
      <c r="J99" s="819">
        <f t="shared" si="22"/>
        <v>190.73280877601402</v>
      </c>
      <c r="K99" s="819">
        <f t="shared" si="22"/>
        <v>212.92416045334934</v>
      </c>
      <c r="L99" s="819">
        <f t="shared" si="22"/>
        <v>231.42406802619385</v>
      </c>
      <c r="M99" s="819">
        <f t="shared" si="22"/>
        <v>231.53049740838574</v>
      </c>
      <c r="N99" s="819">
        <f t="shared" si="22"/>
        <v>124.11658534823553</v>
      </c>
      <c r="O99" s="819">
        <f t="shared" si="22"/>
        <v>61.115423503469074</v>
      </c>
      <c r="P99" s="819">
        <f t="shared" si="22"/>
        <v>23.350875613112837</v>
      </c>
      <c r="Q99" s="819">
        <f t="shared" si="22"/>
        <v>10.490070277575271</v>
      </c>
      <c r="R99" s="819">
        <f t="shared" si="22"/>
        <v>3.8708898521465072</v>
      </c>
      <c r="S99" s="819">
        <f t="shared" si="22"/>
        <v>1.2259827225138336</v>
      </c>
      <c r="T99" s="819">
        <f t="shared" si="22"/>
        <v>0</v>
      </c>
      <c r="U99" s="819">
        <f t="shared" si="22"/>
        <v>0</v>
      </c>
      <c r="V99" s="819">
        <f t="shared" si="22"/>
        <v>0</v>
      </c>
      <c r="W99" s="820">
        <f t="shared" si="22"/>
        <v>0</v>
      </c>
    </row>
    <row r="100" spans="1:23" x14ac:dyDescent="0.35">
      <c r="A100" s="901"/>
      <c r="B100" s="805">
        <f t="shared" si="23"/>
        <v>3.25</v>
      </c>
      <c r="C100" s="818">
        <f t="shared" si="22"/>
        <v>0</v>
      </c>
      <c r="D100" s="819">
        <f t="shared" si="22"/>
        <v>0</v>
      </c>
      <c r="E100" s="819">
        <f t="shared" si="22"/>
        <v>0</v>
      </c>
      <c r="F100" s="819">
        <f t="shared" si="22"/>
        <v>0</v>
      </c>
      <c r="G100" s="819">
        <f t="shared" si="22"/>
        <v>0</v>
      </c>
      <c r="H100" s="819">
        <f t="shared" si="22"/>
        <v>0</v>
      </c>
      <c r="I100" s="819">
        <f t="shared" si="22"/>
        <v>0</v>
      </c>
      <c r="J100" s="819">
        <f t="shared" si="22"/>
        <v>48.83915861082761</v>
      </c>
      <c r="K100" s="819">
        <f t="shared" si="22"/>
        <v>176.72946845601251</v>
      </c>
      <c r="L100" s="819">
        <f t="shared" si="22"/>
        <v>168.57594616797894</v>
      </c>
      <c r="M100" s="819">
        <f t="shared" si="22"/>
        <v>222.55357026721418</v>
      </c>
      <c r="N100" s="819">
        <f t="shared" si="22"/>
        <v>157.17331116495154</v>
      </c>
      <c r="O100" s="819">
        <f t="shared" si="22"/>
        <v>84.659889935133108</v>
      </c>
      <c r="P100" s="819">
        <f t="shared" si="22"/>
        <v>32.748247008207315</v>
      </c>
      <c r="Q100" s="819">
        <f t="shared" si="22"/>
        <v>10.823571878984339</v>
      </c>
      <c r="R100" s="819">
        <f t="shared" si="22"/>
        <v>3.8976728686134208</v>
      </c>
      <c r="S100" s="819">
        <f t="shared" si="22"/>
        <v>1.8346317600782507</v>
      </c>
      <c r="T100" s="819">
        <f t="shared" si="22"/>
        <v>0.8998219005439978</v>
      </c>
      <c r="U100" s="819">
        <f t="shared" si="22"/>
        <v>0.67780627611813671</v>
      </c>
      <c r="V100" s="819">
        <f t="shared" si="22"/>
        <v>0</v>
      </c>
      <c r="W100" s="820">
        <f t="shared" si="22"/>
        <v>0</v>
      </c>
    </row>
    <row r="101" spans="1:23" x14ac:dyDescent="0.35">
      <c r="A101" s="901"/>
      <c r="B101" s="805">
        <f t="shared" si="23"/>
        <v>3.75</v>
      </c>
      <c r="C101" s="818">
        <f t="shared" si="22"/>
        <v>0</v>
      </c>
      <c r="D101" s="819">
        <f t="shared" si="22"/>
        <v>0</v>
      </c>
      <c r="E101" s="819">
        <f t="shared" si="22"/>
        <v>0</v>
      </c>
      <c r="F101" s="819">
        <f t="shared" si="22"/>
        <v>0</v>
      </c>
      <c r="G101" s="819">
        <f t="shared" si="22"/>
        <v>0</v>
      </c>
      <c r="H101" s="819">
        <f t="shared" si="22"/>
        <v>0</v>
      </c>
      <c r="I101" s="819">
        <f t="shared" si="22"/>
        <v>0</v>
      </c>
      <c r="J101" s="819">
        <f t="shared" si="22"/>
        <v>7.0552325293712954</v>
      </c>
      <c r="K101" s="819">
        <f t="shared" si="22"/>
        <v>74.8471301844165</v>
      </c>
      <c r="L101" s="819">
        <f t="shared" si="22"/>
        <v>96.072715702635364</v>
      </c>
      <c r="M101" s="819">
        <f t="shared" si="22"/>
        <v>162.85595197226144</v>
      </c>
      <c r="N101" s="819">
        <f t="shared" si="22"/>
        <v>148.28598239177208</v>
      </c>
      <c r="O101" s="819">
        <f t="shared" si="22"/>
        <v>89.611390172915591</v>
      </c>
      <c r="P101" s="819">
        <f t="shared" si="22"/>
        <v>39.847300747812994</v>
      </c>
      <c r="Q101" s="819">
        <f t="shared" si="22"/>
        <v>13.707150128169669</v>
      </c>
      <c r="R101" s="819">
        <f t="shared" si="22"/>
        <v>6.1935725579703629</v>
      </c>
      <c r="S101" s="819">
        <f t="shared" si="22"/>
        <v>2.2797199385587752</v>
      </c>
      <c r="T101" s="819">
        <f t="shared" si="22"/>
        <v>0</v>
      </c>
      <c r="U101" s="819">
        <f t="shared" si="22"/>
        <v>0</v>
      </c>
      <c r="V101" s="819">
        <f t="shared" si="22"/>
        <v>0</v>
      </c>
      <c r="W101" s="820">
        <f t="shared" si="22"/>
        <v>0</v>
      </c>
    </row>
    <row r="102" spans="1:23" x14ac:dyDescent="0.35">
      <c r="A102" s="901"/>
      <c r="B102" s="805">
        <f t="shared" si="23"/>
        <v>4.25</v>
      </c>
      <c r="C102" s="818">
        <f t="shared" si="22"/>
        <v>0</v>
      </c>
      <c r="D102" s="819">
        <f t="shared" si="22"/>
        <v>0</v>
      </c>
      <c r="E102" s="819">
        <f t="shared" si="22"/>
        <v>0</v>
      </c>
      <c r="F102" s="819">
        <f t="shared" si="22"/>
        <v>0</v>
      </c>
      <c r="G102" s="819">
        <f t="shared" si="22"/>
        <v>0</v>
      </c>
      <c r="H102" s="819">
        <f t="shared" si="22"/>
        <v>0</v>
      </c>
      <c r="I102" s="819">
        <f t="shared" si="22"/>
        <v>0</v>
      </c>
      <c r="J102" s="819">
        <f t="shared" si="22"/>
        <v>0</v>
      </c>
      <c r="K102" s="819">
        <f t="shared" si="22"/>
        <v>17.163148365729445</v>
      </c>
      <c r="L102" s="819">
        <f t="shared" si="22"/>
        <v>38.140329701620985</v>
      </c>
      <c r="M102" s="819">
        <f t="shared" si="22"/>
        <v>82.00170885848506</v>
      </c>
      <c r="N102" s="819">
        <f t="shared" si="22"/>
        <v>102.02538195183615</v>
      </c>
      <c r="O102" s="819">
        <f t="shared" si="22"/>
        <v>76.042282342606825</v>
      </c>
      <c r="P102" s="819">
        <f t="shared" si="22"/>
        <v>37.181284034102568</v>
      </c>
      <c r="Q102" s="819">
        <f t="shared" si="22"/>
        <v>11.782233412504187</v>
      </c>
      <c r="R102" s="819">
        <f t="shared" si="22"/>
        <v>3.8817834286705351</v>
      </c>
      <c r="S102" s="819">
        <f t="shared" si="22"/>
        <v>3.3464841256812132</v>
      </c>
      <c r="T102" s="819">
        <f t="shared" si="22"/>
        <v>0</v>
      </c>
      <c r="U102" s="819">
        <f t="shared" si="22"/>
        <v>0</v>
      </c>
      <c r="V102" s="819">
        <f t="shared" si="22"/>
        <v>0</v>
      </c>
      <c r="W102" s="820">
        <f t="shared" si="22"/>
        <v>0</v>
      </c>
    </row>
    <row r="103" spans="1:23" x14ac:dyDescent="0.35">
      <c r="A103" s="901"/>
      <c r="B103" s="805">
        <f t="shared" si="23"/>
        <v>4.75</v>
      </c>
      <c r="C103" s="818">
        <f t="shared" si="22"/>
        <v>0</v>
      </c>
      <c r="D103" s="819">
        <f t="shared" si="22"/>
        <v>0</v>
      </c>
      <c r="E103" s="819">
        <f t="shared" si="22"/>
        <v>0</v>
      </c>
      <c r="F103" s="819">
        <f t="shared" si="22"/>
        <v>0</v>
      </c>
      <c r="G103" s="819">
        <f t="shared" si="22"/>
        <v>0</v>
      </c>
      <c r="H103" s="819">
        <f t="shared" si="22"/>
        <v>0</v>
      </c>
      <c r="I103" s="819">
        <f t="shared" si="22"/>
        <v>0</v>
      </c>
      <c r="J103" s="819">
        <f t="shared" si="22"/>
        <v>0</v>
      </c>
      <c r="K103" s="819">
        <f t="shared" si="22"/>
        <v>3.5756559095269647</v>
      </c>
      <c r="L103" s="819">
        <f t="shared" si="22"/>
        <v>15.017754820013261</v>
      </c>
      <c r="M103" s="819">
        <f t="shared" si="22"/>
        <v>22.169066639067097</v>
      </c>
      <c r="N103" s="819">
        <f t="shared" si="22"/>
        <v>48.152166248296446</v>
      </c>
      <c r="O103" s="819">
        <f t="shared" si="22"/>
        <v>48.628920369566742</v>
      </c>
      <c r="P103" s="819">
        <f t="shared" si="22"/>
        <v>34.087919670823773</v>
      </c>
      <c r="Q103" s="819">
        <f t="shared" si="22"/>
        <v>13.11073833493221</v>
      </c>
      <c r="R103" s="819">
        <f t="shared" si="22"/>
        <v>4.2907870914323656</v>
      </c>
      <c r="S103" s="819">
        <f t="shared" si="22"/>
        <v>1.9070164850810492</v>
      </c>
      <c r="T103" s="819">
        <f t="shared" si="22"/>
        <v>0</v>
      </c>
      <c r="U103" s="819">
        <f t="shared" si="22"/>
        <v>0</v>
      </c>
      <c r="V103" s="819">
        <f t="shared" si="22"/>
        <v>0</v>
      </c>
      <c r="W103" s="820">
        <f t="shared" si="22"/>
        <v>0</v>
      </c>
    </row>
    <row r="104" spans="1:23" x14ac:dyDescent="0.35">
      <c r="A104" s="901"/>
      <c r="B104" s="805">
        <f t="shared" si="23"/>
        <v>5.25</v>
      </c>
      <c r="C104" s="818">
        <f t="shared" si="22"/>
        <v>0</v>
      </c>
      <c r="D104" s="819">
        <f t="shared" si="22"/>
        <v>0</v>
      </c>
      <c r="E104" s="819">
        <f t="shared" si="22"/>
        <v>0</v>
      </c>
      <c r="F104" s="819">
        <f t="shared" si="22"/>
        <v>0</v>
      </c>
      <c r="G104" s="819">
        <f t="shared" si="22"/>
        <v>0</v>
      </c>
      <c r="H104" s="819">
        <f t="shared" si="22"/>
        <v>0</v>
      </c>
      <c r="I104" s="819">
        <f t="shared" si="22"/>
        <v>0</v>
      </c>
      <c r="J104" s="819">
        <f t="shared" si="22"/>
        <v>0</v>
      </c>
      <c r="K104" s="819">
        <f t="shared" si="22"/>
        <v>0</v>
      </c>
      <c r="L104" s="819">
        <f t="shared" si="22"/>
        <v>5.0059182733377474</v>
      </c>
      <c r="M104" s="819">
        <f t="shared" si="22"/>
        <v>5.0059182733377474</v>
      </c>
      <c r="N104" s="819">
        <f t="shared" si="22"/>
        <v>19.308541911445644</v>
      </c>
      <c r="O104" s="819">
        <f t="shared" si="22"/>
        <v>27.651739033675224</v>
      </c>
      <c r="P104" s="819">
        <f t="shared" si="22"/>
        <v>23.837706063513163</v>
      </c>
      <c r="Q104" s="819">
        <f t="shared" si="22"/>
        <v>12.872361274297077</v>
      </c>
      <c r="R104" s="819">
        <f t="shared" si="22"/>
        <v>3.8140329701620983</v>
      </c>
      <c r="S104" s="819">
        <f t="shared" si="22"/>
        <v>0</v>
      </c>
      <c r="T104" s="819">
        <f t="shared" si="22"/>
        <v>0</v>
      </c>
      <c r="U104" s="819">
        <f t="shared" si="22"/>
        <v>0</v>
      </c>
      <c r="V104" s="819">
        <f t="shared" si="22"/>
        <v>0</v>
      </c>
      <c r="W104" s="820">
        <f t="shared" si="22"/>
        <v>0</v>
      </c>
    </row>
    <row r="105" spans="1:23" x14ac:dyDescent="0.35">
      <c r="A105" s="901"/>
      <c r="B105" s="805">
        <f t="shared" si="23"/>
        <v>5.75</v>
      </c>
      <c r="C105" s="818">
        <f t="shared" si="22"/>
        <v>0</v>
      </c>
      <c r="D105" s="819">
        <f t="shared" si="22"/>
        <v>0</v>
      </c>
      <c r="E105" s="819">
        <f t="shared" si="22"/>
        <v>0</v>
      </c>
      <c r="F105" s="819">
        <f t="shared" si="22"/>
        <v>0</v>
      </c>
      <c r="G105" s="819">
        <f t="shared" si="22"/>
        <v>0</v>
      </c>
      <c r="H105" s="819">
        <f t="shared" si="22"/>
        <v>0</v>
      </c>
      <c r="I105" s="819">
        <f t="shared" si="22"/>
        <v>0</v>
      </c>
      <c r="J105" s="819">
        <f t="shared" si="22"/>
        <v>0</v>
      </c>
      <c r="K105" s="819">
        <f t="shared" si="22"/>
        <v>0</v>
      </c>
      <c r="L105" s="819">
        <f t="shared" si="22"/>
        <v>0</v>
      </c>
      <c r="M105" s="819">
        <f t="shared" si="22"/>
        <v>0</v>
      </c>
      <c r="N105" s="819">
        <f t="shared" si="22"/>
        <v>4.0524100307972315</v>
      </c>
      <c r="O105" s="819">
        <f t="shared" si="22"/>
        <v>13.349115395567345</v>
      </c>
      <c r="P105" s="819">
        <f t="shared" si="22"/>
        <v>10.011836546675514</v>
      </c>
      <c r="Q105" s="819">
        <f t="shared" si="22"/>
        <v>8.3431971222295793</v>
      </c>
      <c r="R105" s="819">
        <f t="shared" si="22"/>
        <v>3.3372788488918315</v>
      </c>
      <c r="S105" s="819">
        <f t="shared" si="22"/>
        <v>0</v>
      </c>
      <c r="T105" s="819">
        <f t="shared" si="22"/>
        <v>0</v>
      </c>
      <c r="U105" s="819">
        <f t="shared" si="22"/>
        <v>0</v>
      </c>
      <c r="V105" s="819">
        <f t="shared" si="22"/>
        <v>0</v>
      </c>
      <c r="W105" s="820">
        <f t="shared" si="22"/>
        <v>0</v>
      </c>
    </row>
    <row r="106" spans="1:23" x14ac:dyDescent="0.35">
      <c r="A106" s="901"/>
      <c r="B106" s="805">
        <f t="shared" si="23"/>
        <v>6.25</v>
      </c>
      <c r="C106" s="818">
        <f t="shared" si="22"/>
        <v>0</v>
      </c>
      <c r="D106" s="819">
        <f t="shared" si="22"/>
        <v>0</v>
      </c>
      <c r="E106" s="819">
        <f t="shared" si="22"/>
        <v>0</v>
      </c>
      <c r="F106" s="819">
        <f t="shared" si="22"/>
        <v>0</v>
      </c>
      <c r="G106" s="819">
        <f t="shared" si="22"/>
        <v>0</v>
      </c>
      <c r="H106" s="819">
        <f t="shared" si="22"/>
        <v>0</v>
      </c>
      <c r="I106" s="819">
        <f t="shared" si="22"/>
        <v>0</v>
      </c>
      <c r="J106" s="819">
        <f t="shared" si="22"/>
        <v>0</v>
      </c>
      <c r="K106" s="819">
        <f t="shared" si="22"/>
        <v>0</v>
      </c>
      <c r="L106" s="819">
        <f t="shared" si="22"/>
        <v>0</v>
      </c>
      <c r="M106" s="819">
        <f t="shared" si="22"/>
        <v>0</v>
      </c>
      <c r="N106" s="819">
        <f t="shared" si="22"/>
        <v>0</v>
      </c>
      <c r="O106" s="819">
        <f t="shared" si="22"/>
        <v>5.9594265158782802</v>
      </c>
      <c r="P106" s="819">
        <f t="shared" si="22"/>
        <v>7.3896888796890634</v>
      </c>
      <c r="Q106" s="819">
        <f t="shared" si="22"/>
        <v>3.8140329701620983</v>
      </c>
      <c r="R106" s="819">
        <f t="shared" si="22"/>
        <v>2.1453935457161828</v>
      </c>
      <c r="S106" s="819">
        <f t="shared" si="22"/>
        <v>0</v>
      </c>
      <c r="T106" s="819">
        <f t="shared" si="22"/>
        <v>0</v>
      </c>
      <c r="U106" s="819">
        <f t="shared" si="22"/>
        <v>0</v>
      </c>
      <c r="V106" s="819">
        <f t="shared" si="22"/>
        <v>0</v>
      </c>
      <c r="W106" s="820">
        <f t="shared" si="22"/>
        <v>0</v>
      </c>
    </row>
    <row r="107" spans="1:23" x14ac:dyDescent="0.35">
      <c r="A107" s="901"/>
      <c r="B107" s="805">
        <f t="shared" si="23"/>
        <v>6.75</v>
      </c>
      <c r="C107" s="818">
        <f t="shared" si="22"/>
        <v>0</v>
      </c>
      <c r="D107" s="819">
        <f t="shared" si="22"/>
        <v>0</v>
      </c>
      <c r="E107" s="819">
        <f t="shared" si="22"/>
        <v>0</v>
      </c>
      <c r="F107" s="819">
        <f t="shared" ref="F107:W107" si="24">F51*F79</f>
        <v>0</v>
      </c>
      <c r="G107" s="819">
        <f t="shared" si="24"/>
        <v>0</v>
      </c>
      <c r="H107" s="819">
        <f t="shared" si="24"/>
        <v>0</v>
      </c>
      <c r="I107" s="819">
        <f t="shared" si="24"/>
        <v>0</v>
      </c>
      <c r="J107" s="819">
        <f t="shared" si="24"/>
        <v>0</v>
      </c>
      <c r="K107" s="819">
        <f t="shared" si="24"/>
        <v>0</v>
      </c>
      <c r="L107" s="819">
        <f t="shared" si="24"/>
        <v>0</v>
      </c>
      <c r="M107" s="819">
        <f t="shared" si="24"/>
        <v>0</v>
      </c>
      <c r="N107" s="819">
        <f t="shared" si="24"/>
        <v>0</v>
      </c>
      <c r="O107" s="819">
        <f t="shared" si="24"/>
        <v>0</v>
      </c>
      <c r="P107" s="819">
        <f t="shared" si="24"/>
        <v>3.8140329701620983</v>
      </c>
      <c r="Q107" s="819">
        <f t="shared" si="24"/>
        <v>3.3372788488918315</v>
      </c>
      <c r="R107" s="819">
        <f t="shared" si="24"/>
        <v>0</v>
      </c>
      <c r="S107" s="819">
        <f t="shared" si="24"/>
        <v>0</v>
      </c>
      <c r="T107" s="819">
        <f t="shared" si="24"/>
        <v>0</v>
      </c>
      <c r="U107" s="819">
        <f t="shared" si="24"/>
        <v>0</v>
      </c>
      <c r="V107" s="819">
        <f t="shared" si="24"/>
        <v>0</v>
      </c>
      <c r="W107" s="820">
        <f t="shared" si="24"/>
        <v>0</v>
      </c>
    </row>
    <row r="108" spans="1:23" x14ac:dyDescent="0.35">
      <c r="A108" s="901"/>
      <c r="B108" s="805">
        <f t="shared" si="23"/>
        <v>7.25</v>
      </c>
      <c r="C108" s="818">
        <f t="shared" ref="C108:W113" si="25">C52*C80</f>
        <v>0</v>
      </c>
      <c r="D108" s="819">
        <f t="shared" si="25"/>
        <v>0</v>
      </c>
      <c r="E108" s="819">
        <f t="shared" si="25"/>
        <v>0</v>
      </c>
      <c r="F108" s="819">
        <f t="shared" si="25"/>
        <v>0</v>
      </c>
      <c r="G108" s="819">
        <f t="shared" si="25"/>
        <v>0</v>
      </c>
      <c r="H108" s="819">
        <f t="shared" si="25"/>
        <v>0</v>
      </c>
      <c r="I108" s="819">
        <f t="shared" si="25"/>
        <v>0</v>
      </c>
      <c r="J108" s="819">
        <f t="shared" si="25"/>
        <v>0</v>
      </c>
      <c r="K108" s="819">
        <f t="shared" si="25"/>
        <v>0</v>
      </c>
      <c r="L108" s="819">
        <f t="shared" si="25"/>
        <v>0</v>
      </c>
      <c r="M108" s="819">
        <f t="shared" si="25"/>
        <v>0</v>
      </c>
      <c r="N108" s="819">
        <f t="shared" si="25"/>
        <v>0</v>
      </c>
      <c r="O108" s="819">
        <f t="shared" si="25"/>
        <v>0</v>
      </c>
      <c r="P108" s="819">
        <f t="shared" si="25"/>
        <v>0</v>
      </c>
      <c r="Q108" s="819">
        <f t="shared" si="25"/>
        <v>0</v>
      </c>
      <c r="R108" s="819">
        <f t="shared" si="25"/>
        <v>0</v>
      </c>
      <c r="S108" s="819">
        <f t="shared" si="25"/>
        <v>0</v>
      </c>
      <c r="T108" s="819">
        <f t="shared" si="25"/>
        <v>0</v>
      </c>
      <c r="U108" s="819">
        <f t="shared" si="25"/>
        <v>0</v>
      </c>
      <c r="V108" s="819">
        <f t="shared" si="25"/>
        <v>0</v>
      </c>
      <c r="W108" s="820">
        <f t="shared" si="25"/>
        <v>0</v>
      </c>
    </row>
    <row r="109" spans="1:23" x14ac:dyDescent="0.35">
      <c r="A109" s="901"/>
      <c r="B109" s="805">
        <f t="shared" si="23"/>
        <v>7.75</v>
      </c>
      <c r="C109" s="818">
        <f t="shared" si="25"/>
        <v>0</v>
      </c>
      <c r="D109" s="819">
        <f t="shared" si="25"/>
        <v>0</v>
      </c>
      <c r="E109" s="819">
        <f t="shared" si="25"/>
        <v>0</v>
      </c>
      <c r="F109" s="819">
        <f t="shared" si="25"/>
        <v>0</v>
      </c>
      <c r="G109" s="819">
        <f t="shared" si="25"/>
        <v>0</v>
      </c>
      <c r="H109" s="819">
        <f t="shared" si="25"/>
        <v>0</v>
      </c>
      <c r="I109" s="819">
        <f t="shared" si="25"/>
        <v>0</v>
      </c>
      <c r="J109" s="819">
        <f t="shared" si="25"/>
        <v>0</v>
      </c>
      <c r="K109" s="819">
        <f t="shared" si="25"/>
        <v>0</v>
      </c>
      <c r="L109" s="819">
        <f t="shared" si="25"/>
        <v>0</v>
      </c>
      <c r="M109" s="819">
        <f t="shared" si="25"/>
        <v>0</v>
      </c>
      <c r="N109" s="819">
        <f t="shared" si="25"/>
        <v>0</v>
      </c>
      <c r="O109" s="819">
        <f t="shared" si="25"/>
        <v>0</v>
      </c>
      <c r="P109" s="819">
        <f t="shared" si="25"/>
        <v>0</v>
      </c>
      <c r="Q109" s="819">
        <f t="shared" si="25"/>
        <v>0</v>
      </c>
      <c r="R109" s="819">
        <f t="shared" si="25"/>
        <v>0</v>
      </c>
      <c r="S109" s="819">
        <f t="shared" si="25"/>
        <v>0</v>
      </c>
      <c r="T109" s="819">
        <f t="shared" si="25"/>
        <v>0</v>
      </c>
      <c r="U109" s="819">
        <f t="shared" si="25"/>
        <v>0</v>
      </c>
      <c r="V109" s="819">
        <f t="shared" si="25"/>
        <v>0</v>
      </c>
      <c r="W109" s="820">
        <f t="shared" si="25"/>
        <v>0</v>
      </c>
    </row>
    <row r="110" spans="1:23" x14ac:dyDescent="0.35">
      <c r="A110" s="901"/>
      <c r="B110" s="805">
        <f t="shared" si="23"/>
        <v>8.25</v>
      </c>
      <c r="C110" s="818">
        <f t="shared" si="25"/>
        <v>0</v>
      </c>
      <c r="D110" s="819">
        <f t="shared" si="25"/>
        <v>0</v>
      </c>
      <c r="E110" s="819">
        <f t="shared" si="25"/>
        <v>0</v>
      </c>
      <c r="F110" s="819">
        <f t="shared" si="25"/>
        <v>0</v>
      </c>
      <c r="G110" s="819">
        <f t="shared" si="25"/>
        <v>0</v>
      </c>
      <c r="H110" s="819">
        <f t="shared" si="25"/>
        <v>0</v>
      </c>
      <c r="I110" s="819">
        <f t="shared" si="25"/>
        <v>0</v>
      </c>
      <c r="J110" s="819">
        <f t="shared" si="25"/>
        <v>0</v>
      </c>
      <c r="K110" s="819">
        <f t="shared" si="25"/>
        <v>0</v>
      </c>
      <c r="L110" s="819">
        <f t="shared" si="25"/>
        <v>0</v>
      </c>
      <c r="M110" s="819">
        <f t="shared" si="25"/>
        <v>0</v>
      </c>
      <c r="N110" s="819">
        <f t="shared" si="25"/>
        <v>0</v>
      </c>
      <c r="O110" s="819">
        <f t="shared" si="25"/>
        <v>0</v>
      </c>
      <c r="P110" s="819">
        <f t="shared" si="25"/>
        <v>0</v>
      </c>
      <c r="Q110" s="819">
        <f t="shared" si="25"/>
        <v>0</v>
      </c>
      <c r="R110" s="819">
        <f t="shared" si="25"/>
        <v>0</v>
      </c>
      <c r="S110" s="819">
        <f t="shared" si="25"/>
        <v>0</v>
      </c>
      <c r="T110" s="819">
        <f t="shared" si="25"/>
        <v>0</v>
      </c>
      <c r="U110" s="819">
        <f t="shared" si="25"/>
        <v>0</v>
      </c>
      <c r="V110" s="819">
        <f t="shared" si="25"/>
        <v>0</v>
      </c>
      <c r="W110" s="820">
        <f t="shared" si="25"/>
        <v>0</v>
      </c>
    </row>
    <row r="111" spans="1:23" x14ac:dyDescent="0.35">
      <c r="A111" s="901"/>
      <c r="B111" s="805">
        <f t="shared" si="23"/>
        <v>8.75</v>
      </c>
      <c r="C111" s="818">
        <f t="shared" si="25"/>
        <v>0</v>
      </c>
      <c r="D111" s="819">
        <f t="shared" si="25"/>
        <v>0</v>
      </c>
      <c r="E111" s="819">
        <f t="shared" si="25"/>
        <v>0</v>
      </c>
      <c r="F111" s="819">
        <f t="shared" si="25"/>
        <v>0</v>
      </c>
      <c r="G111" s="819">
        <f t="shared" si="25"/>
        <v>0</v>
      </c>
      <c r="H111" s="819">
        <f t="shared" si="25"/>
        <v>0</v>
      </c>
      <c r="I111" s="819">
        <f t="shared" si="25"/>
        <v>0</v>
      </c>
      <c r="J111" s="819">
        <f t="shared" si="25"/>
        <v>0</v>
      </c>
      <c r="K111" s="819">
        <f t="shared" si="25"/>
        <v>0</v>
      </c>
      <c r="L111" s="819">
        <f t="shared" si="25"/>
        <v>0</v>
      </c>
      <c r="M111" s="819">
        <f t="shared" si="25"/>
        <v>0</v>
      </c>
      <c r="N111" s="819">
        <f t="shared" si="25"/>
        <v>0</v>
      </c>
      <c r="O111" s="819">
        <f t="shared" si="25"/>
        <v>0</v>
      </c>
      <c r="P111" s="819">
        <f t="shared" si="25"/>
        <v>0</v>
      </c>
      <c r="Q111" s="819">
        <f t="shared" si="25"/>
        <v>0</v>
      </c>
      <c r="R111" s="819">
        <f t="shared" si="25"/>
        <v>0</v>
      </c>
      <c r="S111" s="819">
        <f t="shared" si="25"/>
        <v>0</v>
      </c>
      <c r="T111" s="819">
        <f t="shared" si="25"/>
        <v>0</v>
      </c>
      <c r="U111" s="819">
        <f t="shared" si="25"/>
        <v>0</v>
      </c>
      <c r="V111" s="819">
        <f t="shared" si="25"/>
        <v>0</v>
      </c>
      <c r="W111" s="820">
        <f t="shared" si="25"/>
        <v>0</v>
      </c>
    </row>
    <row r="112" spans="1:23" x14ac:dyDescent="0.35">
      <c r="A112" s="901"/>
      <c r="B112" s="805">
        <f t="shared" si="23"/>
        <v>9.25</v>
      </c>
      <c r="C112" s="818">
        <f t="shared" si="25"/>
        <v>0</v>
      </c>
      <c r="D112" s="819">
        <f t="shared" si="25"/>
        <v>0</v>
      </c>
      <c r="E112" s="819">
        <f t="shared" si="25"/>
        <v>0</v>
      </c>
      <c r="F112" s="819">
        <f t="shared" si="25"/>
        <v>0</v>
      </c>
      <c r="G112" s="819">
        <f t="shared" si="25"/>
        <v>0</v>
      </c>
      <c r="H112" s="819">
        <f t="shared" si="25"/>
        <v>0</v>
      </c>
      <c r="I112" s="819">
        <f t="shared" si="25"/>
        <v>0</v>
      </c>
      <c r="J112" s="819">
        <f t="shared" si="25"/>
        <v>0</v>
      </c>
      <c r="K112" s="819">
        <f t="shared" si="25"/>
        <v>0</v>
      </c>
      <c r="L112" s="819">
        <f t="shared" si="25"/>
        <v>0</v>
      </c>
      <c r="M112" s="819">
        <f t="shared" si="25"/>
        <v>0</v>
      </c>
      <c r="N112" s="819">
        <f t="shared" si="25"/>
        <v>0</v>
      </c>
      <c r="O112" s="819">
        <f t="shared" si="25"/>
        <v>0</v>
      </c>
      <c r="P112" s="819">
        <f t="shared" si="25"/>
        <v>0</v>
      </c>
      <c r="Q112" s="819">
        <f t="shared" si="25"/>
        <v>0</v>
      </c>
      <c r="R112" s="819">
        <f t="shared" si="25"/>
        <v>0</v>
      </c>
      <c r="S112" s="819">
        <f t="shared" si="25"/>
        <v>0</v>
      </c>
      <c r="T112" s="819">
        <f t="shared" si="25"/>
        <v>0</v>
      </c>
      <c r="U112" s="819">
        <f t="shared" si="25"/>
        <v>0</v>
      </c>
      <c r="V112" s="819">
        <f t="shared" si="25"/>
        <v>0</v>
      </c>
      <c r="W112" s="820">
        <f t="shared" si="25"/>
        <v>0</v>
      </c>
    </row>
    <row r="113" spans="1:23" ht="15" thickBot="1" x14ac:dyDescent="0.4">
      <c r="A113" s="902"/>
      <c r="B113" s="808">
        <f t="shared" si="23"/>
        <v>9.75</v>
      </c>
      <c r="C113" s="821">
        <f t="shared" si="25"/>
        <v>0</v>
      </c>
      <c r="D113" s="822">
        <f t="shared" si="25"/>
        <v>0</v>
      </c>
      <c r="E113" s="822">
        <f t="shared" si="25"/>
        <v>0</v>
      </c>
      <c r="F113" s="822">
        <f t="shared" si="25"/>
        <v>0</v>
      </c>
      <c r="G113" s="822">
        <f t="shared" si="25"/>
        <v>0</v>
      </c>
      <c r="H113" s="822">
        <f t="shared" si="25"/>
        <v>0</v>
      </c>
      <c r="I113" s="822">
        <f t="shared" si="25"/>
        <v>0</v>
      </c>
      <c r="J113" s="822">
        <f t="shared" si="25"/>
        <v>0</v>
      </c>
      <c r="K113" s="822">
        <f t="shared" si="25"/>
        <v>0</v>
      </c>
      <c r="L113" s="822">
        <f t="shared" si="25"/>
        <v>0</v>
      </c>
      <c r="M113" s="822">
        <f t="shared" si="25"/>
        <v>0</v>
      </c>
      <c r="N113" s="822">
        <f t="shared" si="25"/>
        <v>0</v>
      </c>
      <c r="O113" s="822">
        <f t="shared" si="25"/>
        <v>0</v>
      </c>
      <c r="P113" s="822">
        <f t="shared" si="25"/>
        <v>0</v>
      </c>
      <c r="Q113" s="822">
        <f t="shared" si="25"/>
        <v>0</v>
      </c>
      <c r="R113" s="822">
        <f t="shared" si="25"/>
        <v>0</v>
      </c>
      <c r="S113" s="822">
        <f t="shared" si="25"/>
        <v>0</v>
      </c>
      <c r="T113" s="822">
        <f t="shared" si="25"/>
        <v>0</v>
      </c>
      <c r="U113" s="822">
        <f t="shared" si="25"/>
        <v>0</v>
      </c>
      <c r="V113" s="822">
        <f t="shared" si="25"/>
        <v>0</v>
      </c>
      <c r="W113" s="823">
        <f t="shared" si="25"/>
        <v>0</v>
      </c>
    </row>
    <row r="114" spans="1:23" ht="15" thickBot="1" x14ac:dyDescent="0.4">
      <c r="A114" s="812"/>
      <c r="B114" s="545"/>
      <c r="C114" s="813">
        <f>C93*1.16</f>
        <v>0.57999999999999996</v>
      </c>
      <c r="D114" s="813">
        <f t="shared" ref="D114:W114" si="26">D93*1.16</f>
        <v>1.7399999999999998</v>
      </c>
      <c r="E114" s="813">
        <f t="shared" si="26"/>
        <v>2.9</v>
      </c>
      <c r="F114" s="813">
        <f t="shared" si="26"/>
        <v>4.0599999999999996</v>
      </c>
      <c r="G114" s="813">
        <f t="shared" si="26"/>
        <v>5.22</v>
      </c>
      <c r="H114" s="813">
        <f t="shared" si="26"/>
        <v>6.38</v>
      </c>
      <c r="I114" s="813">
        <f t="shared" si="26"/>
        <v>7.5399999999999991</v>
      </c>
      <c r="J114" s="813">
        <f t="shared" si="26"/>
        <v>8.6999999999999993</v>
      </c>
      <c r="K114" s="813">
        <f t="shared" si="26"/>
        <v>9.86</v>
      </c>
      <c r="L114" s="813">
        <f t="shared" si="26"/>
        <v>11.02</v>
      </c>
      <c r="M114" s="813">
        <f t="shared" si="26"/>
        <v>12.18</v>
      </c>
      <c r="N114" s="813">
        <f t="shared" si="26"/>
        <v>13.34</v>
      </c>
      <c r="O114" s="813">
        <f t="shared" si="26"/>
        <v>14.499999999999998</v>
      </c>
      <c r="P114" s="813">
        <f t="shared" si="26"/>
        <v>15.659999999999998</v>
      </c>
      <c r="Q114" s="813">
        <f t="shared" si="26"/>
        <v>16.82</v>
      </c>
      <c r="R114" s="813">
        <f t="shared" si="26"/>
        <v>17.98</v>
      </c>
      <c r="S114" s="813">
        <f t="shared" si="26"/>
        <v>19.139999999999997</v>
      </c>
      <c r="T114" s="813">
        <f t="shared" si="26"/>
        <v>20.299999999999997</v>
      </c>
      <c r="U114" s="813">
        <f t="shared" si="26"/>
        <v>21.459999999999997</v>
      </c>
      <c r="V114" s="813">
        <f t="shared" si="26"/>
        <v>22.619999999999997</v>
      </c>
      <c r="W114" s="813">
        <f t="shared" si="26"/>
        <v>23.779999999999998</v>
      </c>
    </row>
    <row r="115" spans="1:23" ht="15" thickBot="1" x14ac:dyDescent="0.4">
      <c r="A115" s="812"/>
      <c r="B115" s="545"/>
      <c r="C115" s="893" t="s">
        <v>1375</v>
      </c>
      <c r="D115" s="894"/>
      <c r="E115" s="894"/>
      <c r="F115" s="894"/>
      <c r="G115" s="894"/>
      <c r="H115" s="894"/>
      <c r="I115" s="894"/>
      <c r="J115" s="894"/>
      <c r="K115" s="894"/>
      <c r="L115" s="894"/>
      <c r="M115" s="894"/>
      <c r="N115" s="894"/>
      <c r="O115" s="894"/>
      <c r="P115" s="894"/>
      <c r="Q115" s="894"/>
      <c r="R115" s="894"/>
      <c r="S115" s="894"/>
      <c r="T115" s="894"/>
      <c r="U115" s="894"/>
      <c r="V115" s="894"/>
      <c r="W115" s="895"/>
    </row>
    <row r="116" spans="1:23" x14ac:dyDescent="0.35">
      <c r="V116" s="725" t="s">
        <v>84</v>
      </c>
      <c r="W116" s="355">
        <f>SUM(C94:W113)</f>
        <v>5484.2554404620887</v>
      </c>
    </row>
    <row r="117" spans="1:23" x14ac:dyDescent="0.35">
      <c r="V117" s="725" t="s">
        <v>1380</v>
      </c>
      <c r="W117" s="355">
        <f>W116/W88</f>
        <v>54.937213154067258</v>
      </c>
    </row>
  </sheetData>
  <mergeCells count="20">
    <mergeCell ref="A94:A113"/>
    <mergeCell ref="C115:W115"/>
    <mergeCell ref="A64:B65"/>
    <mergeCell ref="C64:W64"/>
    <mergeCell ref="A66:A85"/>
    <mergeCell ref="C87:W87"/>
    <mergeCell ref="A92:B93"/>
    <mergeCell ref="C92:W92"/>
    <mergeCell ref="C59:W59"/>
    <mergeCell ref="A8:B9"/>
    <mergeCell ref="C8:W8"/>
    <mergeCell ref="Z8:AA9"/>
    <mergeCell ref="AB8:AV8"/>
    <mergeCell ref="A10:A29"/>
    <mergeCell ref="Z10:Z29"/>
    <mergeCell ref="C31:W31"/>
    <mergeCell ref="AB31:AV31"/>
    <mergeCell ref="A36:B37"/>
    <mergeCell ref="C36:W36"/>
    <mergeCell ref="A38:A57"/>
  </mergeCells>
  <conditionalFormatting sqref="C10:W29">
    <cfRule type="colorScale" priority="5">
      <colorScale>
        <cfvo type="min"/>
        <cfvo type="percentile" val="50"/>
        <cfvo type="max"/>
        <color rgb="FF63BE7B"/>
        <color rgb="FFFFEB84"/>
        <color rgb="FFF8696B"/>
      </colorScale>
    </cfRule>
  </conditionalFormatting>
  <conditionalFormatting sqref="C38:W57">
    <cfRule type="colorScale" priority="4">
      <colorScale>
        <cfvo type="min"/>
        <cfvo type="percentile" val="50"/>
        <cfvo type="max"/>
        <color rgb="FF63BE7B"/>
        <color rgb="FFFFEB84"/>
        <color rgb="FFF8696B"/>
      </colorScale>
    </cfRule>
  </conditionalFormatting>
  <conditionalFormatting sqref="C66:W85">
    <cfRule type="colorScale" priority="3">
      <colorScale>
        <cfvo type="min"/>
        <cfvo type="percentile" val="50"/>
        <cfvo type="max"/>
        <color rgb="FF63BE7B"/>
        <color rgb="FFFFEB84"/>
        <color rgb="FFF8696B"/>
      </colorScale>
    </cfRule>
  </conditionalFormatting>
  <conditionalFormatting sqref="C94:W113">
    <cfRule type="colorScale" priority="2">
      <colorScale>
        <cfvo type="min"/>
        <cfvo type="percentile" val="50"/>
        <cfvo type="max"/>
        <color rgb="FF63BE7B"/>
        <color rgb="FFFFEB84"/>
        <color rgb="FFF8696B"/>
      </colorScale>
    </cfRule>
  </conditionalFormatting>
  <conditionalFormatting sqref="AB10:AV29">
    <cfRule type="colorScale" priority="1">
      <colorScale>
        <cfvo type="min"/>
        <cfvo type="percentile" val="50"/>
        <cfvo type="max"/>
        <color rgb="FF63BE7B"/>
        <color rgb="FFFFEB84"/>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About</vt:lpstr>
      <vt:lpstr>DoE Summary</vt:lpstr>
      <vt:lpstr>DoE CBS</vt:lpstr>
      <vt:lpstr>Report Tables</vt:lpstr>
      <vt:lpstr>Report Graphs</vt:lpstr>
      <vt:lpstr>Performance &amp; Economics</vt:lpstr>
      <vt:lpstr>Perf Comp Table</vt:lpstr>
      <vt:lpstr>Perf MPC Heaving Buoy</vt:lpstr>
      <vt:lpstr>Perf Slow Tuning Heaving Buoy</vt:lpstr>
      <vt:lpstr>Perf Comparison Heaving Buoy</vt:lpstr>
      <vt:lpstr>CBS ($ per kW)</vt:lpstr>
      <vt:lpstr>CBS (CoE)</vt:lpstr>
      <vt:lpstr>CBS (Total)</vt:lpstr>
      <vt:lpstr>1.1</vt:lpstr>
      <vt:lpstr>1.2</vt:lpstr>
      <vt:lpstr>1.3</vt:lpstr>
      <vt:lpstr>1.4</vt:lpstr>
      <vt:lpstr>1.5</vt:lpstr>
      <vt:lpstr>1.6</vt:lpstr>
      <vt:lpstr>1.7</vt:lpstr>
      <vt:lpstr>1.8</vt:lpstr>
      <vt:lpstr>1.9</vt:lpstr>
      <vt:lpstr>2.1</vt:lpstr>
      <vt:lpstr>2.2</vt:lpstr>
      <vt:lpstr>2.3</vt:lpstr>
      <vt:lpstr>2.4</vt:lpstr>
      <vt:lpstr>2.5</vt:lpstr>
      <vt:lpstr>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Mirko</dc:creator>
  <cp:lastModifiedBy>Mirko</cp:lastModifiedBy>
  <dcterms:created xsi:type="dcterms:W3CDTF">2012-04-25T12:13:03Z</dcterms:created>
  <dcterms:modified xsi:type="dcterms:W3CDTF">2017-07-14T21:57:45Z</dcterms:modified>
</cp:coreProperties>
</file>